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592" i="1" l="1"/>
  <c r="J468" i="1" l="1"/>
  <c r="J96" i="1"/>
  <c r="G440" i="1"/>
  <c r="J179" i="1"/>
  <c r="G611" i="1"/>
  <c r="H604" i="1"/>
  <c r="H526" i="1"/>
  <c r="H521" i="1"/>
  <c r="H541" i="1"/>
  <c r="K531" i="1"/>
  <c r="I526" i="1"/>
  <c r="H522" i="1"/>
  <c r="G521" i="1"/>
  <c r="F521" i="1"/>
  <c r="J521" i="1"/>
  <c r="I358" i="1"/>
  <c r="G358" i="1"/>
  <c r="K285" i="1"/>
  <c r="H282" i="1"/>
  <c r="G282" i="1"/>
  <c r="J277" i="1"/>
  <c r="G277" i="1"/>
  <c r="I202" i="1" l="1"/>
  <c r="H208" i="1"/>
  <c r="H204" i="1"/>
  <c r="H202" i="1"/>
  <c r="G204" i="1"/>
  <c r="G203" i="1"/>
  <c r="F204" i="1"/>
  <c r="F203" i="1"/>
  <c r="H159" i="1"/>
  <c r="H155" i="1"/>
  <c r="F110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2" i="10" s="1"/>
  <c r="L200" i="1"/>
  <c r="C112" i="2" s="1"/>
  <c r="L215" i="1"/>
  <c r="L216" i="1"/>
  <c r="L229" i="1" s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D29" i="13" s="1"/>
  <c r="C29" i="13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L285" i="1"/>
  <c r="E122" i="2" s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D85" i="2" s="1"/>
  <c r="D91" i="2" s="1"/>
  <c r="G162" i="1"/>
  <c r="H147" i="1"/>
  <c r="H162" i="1"/>
  <c r="I147" i="1"/>
  <c r="I162" i="1"/>
  <c r="I169" i="1" s="1"/>
  <c r="C10" i="10"/>
  <c r="C13" i="10"/>
  <c r="C18" i="10"/>
  <c r="C20" i="10"/>
  <c r="C21" i="10"/>
  <c r="L250" i="1"/>
  <c r="L332" i="1"/>
  <c r="L254" i="1"/>
  <c r="C25" i="10"/>
  <c r="L268" i="1"/>
  <c r="L269" i="1"/>
  <c r="C143" i="2" s="1"/>
  <c r="L349" i="1"/>
  <c r="L350" i="1"/>
  <c r="I665" i="1"/>
  <c r="I670" i="1"/>
  <c r="F661" i="1"/>
  <c r="G661" i="1"/>
  <c r="H661" i="1"/>
  <c r="G662" i="1"/>
  <c r="H662" i="1"/>
  <c r="I669" i="1"/>
  <c r="C42" i="10"/>
  <c r="C32" i="10"/>
  <c r="L374" i="1"/>
  <c r="L375" i="1"/>
  <c r="L376" i="1"/>
  <c r="C29" i="10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F552" i="1" s="1"/>
  <c r="L523" i="1"/>
  <c r="F551" i="1" s="1"/>
  <c r="K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7" i="2"/>
  <c r="E62" i="2" s="1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E114" i="2"/>
  <c r="D115" i="2"/>
  <c r="F115" i="2"/>
  <c r="G115" i="2"/>
  <c r="E120" i="2"/>
  <c r="E121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L565" i="1" s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J641" i="1" s="1"/>
  <c r="G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C26" i="10"/>
  <c r="L328" i="1"/>
  <c r="A31" i="12"/>
  <c r="D18" i="13"/>
  <c r="C18" i="13" s="1"/>
  <c r="D17" i="13"/>
  <c r="C17" i="13" s="1"/>
  <c r="G161" i="2"/>
  <c r="E78" i="2"/>
  <c r="H112" i="1"/>
  <c r="K605" i="1"/>
  <c r="G648" i="1" s="1"/>
  <c r="L419" i="1"/>
  <c r="J476" i="1"/>
  <c r="H626" i="1" s="1"/>
  <c r="G338" i="1"/>
  <c r="G352" i="1" s="1"/>
  <c r="K550" i="1"/>
  <c r="J552" i="1"/>
  <c r="H140" i="1"/>
  <c r="F22" i="13"/>
  <c r="C22" i="13" s="1"/>
  <c r="H25" i="13"/>
  <c r="C25" i="13" s="1"/>
  <c r="H338" i="1"/>
  <c r="H352" i="1" s="1"/>
  <c r="H192" i="1"/>
  <c r="L309" i="1"/>
  <c r="L570" i="1"/>
  <c r="G36" i="2"/>
  <c r="H33" i="13"/>
  <c r="J639" i="1" l="1"/>
  <c r="H408" i="1"/>
  <c r="H644" i="1" s="1"/>
  <c r="J644" i="1" s="1"/>
  <c r="G408" i="1"/>
  <c r="H645" i="1" s="1"/>
  <c r="J655" i="1"/>
  <c r="G62" i="2"/>
  <c r="A40" i="12"/>
  <c r="A13" i="12"/>
  <c r="J651" i="1"/>
  <c r="K598" i="1"/>
  <c r="G647" i="1" s="1"/>
  <c r="J647" i="1" s="1"/>
  <c r="H545" i="1"/>
  <c r="J545" i="1"/>
  <c r="K549" i="1"/>
  <c r="K552" i="1" s="1"/>
  <c r="J636" i="1"/>
  <c r="I476" i="1"/>
  <c r="H625" i="1" s="1"/>
  <c r="J625" i="1" s="1"/>
  <c r="H476" i="1"/>
  <c r="H624" i="1" s="1"/>
  <c r="G476" i="1"/>
  <c r="H623" i="1" s="1"/>
  <c r="J623" i="1" s="1"/>
  <c r="I661" i="1"/>
  <c r="D19" i="13"/>
  <c r="C19" i="13" s="1"/>
  <c r="K338" i="1"/>
  <c r="K352" i="1" s="1"/>
  <c r="C16" i="10"/>
  <c r="E128" i="2"/>
  <c r="C15" i="10"/>
  <c r="J338" i="1"/>
  <c r="J352" i="1" s="1"/>
  <c r="L290" i="1"/>
  <c r="E115" i="2"/>
  <c r="E145" i="2" s="1"/>
  <c r="H257" i="1"/>
  <c r="H271" i="1" s="1"/>
  <c r="C11" i="10"/>
  <c r="C109" i="2"/>
  <c r="C110" i="2"/>
  <c r="L256" i="1"/>
  <c r="L270" i="1"/>
  <c r="K257" i="1"/>
  <c r="K271" i="1" s="1"/>
  <c r="D12" i="13"/>
  <c r="C12" i="13" s="1"/>
  <c r="C121" i="2"/>
  <c r="C119" i="2"/>
  <c r="E16" i="13"/>
  <c r="C16" i="13" s="1"/>
  <c r="C17" i="10"/>
  <c r="C124" i="2"/>
  <c r="D15" i="13"/>
  <c r="C15" i="13" s="1"/>
  <c r="G649" i="1"/>
  <c r="J649" i="1" s="1"/>
  <c r="I662" i="1"/>
  <c r="D14" i="13"/>
  <c r="C14" i="13" s="1"/>
  <c r="C19" i="10"/>
  <c r="E13" i="13"/>
  <c r="C13" i="13" s="1"/>
  <c r="G257" i="1"/>
  <c r="G271" i="1" s="1"/>
  <c r="C118" i="2"/>
  <c r="D6" i="13"/>
  <c r="C6" i="13" s="1"/>
  <c r="C111" i="2"/>
  <c r="H169" i="1"/>
  <c r="H193" i="1" s="1"/>
  <c r="G629" i="1" s="1"/>
  <c r="J629" i="1" s="1"/>
  <c r="E31" i="2"/>
  <c r="H52" i="1"/>
  <c r="H619" i="1" s="1"/>
  <c r="J619" i="1" s="1"/>
  <c r="E8" i="13"/>
  <c r="C8" i="13" s="1"/>
  <c r="C120" i="2"/>
  <c r="D7" i="13"/>
  <c r="C7" i="13" s="1"/>
  <c r="D5" i="13"/>
  <c r="C5" i="13" s="1"/>
  <c r="L211" i="1"/>
  <c r="F257" i="1"/>
  <c r="F271" i="1" s="1"/>
  <c r="F192" i="1"/>
  <c r="C91" i="2"/>
  <c r="C70" i="2"/>
  <c r="C62" i="2"/>
  <c r="C63" i="2" s="1"/>
  <c r="F112" i="1"/>
  <c r="C35" i="10"/>
  <c r="J622" i="1"/>
  <c r="J617" i="1"/>
  <c r="C18" i="2"/>
  <c r="J645" i="1"/>
  <c r="J640" i="1"/>
  <c r="J271" i="1"/>
  <c r="L544" i="1"/>
  <c r="L524" i="1"/>
  <c r="H552" i="1"/>
  <c r="F169" i="1"/>
  <c r="E81" i="2"/>
  <c r="H660" i="1"/>
  <c r="H664" i="1" s="1"/>
  <c r="H667" i="1" s="1"/>
  <c r="G624" i="1"/>
  <c r="L534" i="1"/>
  <c r="K500" i="1"/>
  <c r="I460" i="1"/>
  <c r="I452" i="1"/>
  <c r="I461" i="1" s="1"/>
  <c r="H642" i="1" s="1"/>
  <c r="I446" i="1"/>
  <c r="G642" i="1" s="1"/>
  <c r="D145" i="2"/>
  <c r="C78" i="2"/>
  <c r="E56" i="2"/>
  <c r="E63" i="2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J642" i="1" l="1"/>
  <c r="H646" i="1"/>
  <c r="J646" i="1" s="1"/>
  <c r="J624" i="1"/>
  <c r="H648" i="1"/>
  <c r="J648" i="1" s="1"/>
  <c r="H672" i="1"/>
  <c r="C6" i="10" s="1"/>
  <c r="G667" i="1"/>
  <c r="C115" i="2"/>
  <c r="L257" i="1"/>
  <c r="L271" i="1" s="1"/>
  <c r="G632" i="1" s="1"/>
  <c r="J632" i="1" s="1"/>
  <c r="C28" i="10"/>
  <c r="D23" i="10" s="1"/>
  <c r="C128" i="2"/>
  <c r="E33" i="13"/>
  <c r="D35" i="13" s="1"/>
  <c r="F660" i="1"/>
  <c r="F664" i="1" s="1"/>
  <c r="F672" i="1" s="1"/>
  <c r="C4" i="10" s="1"/>
  <c r="E104" i="2"/>
  <c r="C81" i="2"/>
  <c r="C104" i="2" s="1"/>
  <c r="C36" i="10"/>
  <c r="E51" i="2"/>
  <c r="C39" i="10"/>
  <c r="F193" i="1"/>
  <c r="G627" i="1" s="1"/>
  <c r="J627" i="1" s="1"/>
  <c r="D31" i="13"/>
  <c r="C31" i="13" s="1"/>
  <c r="L545" i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45" i="2"/>
  <c r="D20" i="10"/>
  <c r="D15" i="10"/>
  <c r="D2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<sst xmlns="http://schemas.openxmlformats.org/spreadsheetml/2006/main" count="3957" uniqueCount="913">
  <si>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</si>
  <si>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</si>
  <si>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</si>
  <si>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</si>
  <si>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</si>
  <si>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</si>
  <si>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</si>
  <si>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</si>
  <si>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</si>
  <si>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</si>
  <si>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</si>
  <si>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</si>
  <si>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</si>
  <si>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</si>
  <si>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</si>
  <si>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</si>
  <si>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</si>
  <si>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</si>
  <si>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</si>
  <si>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</si>
  <si>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</si>
  <si>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</si>
  <si>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</si>
  <si>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</si>
  <si>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</si>
  <si>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</si>
  <si>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</si>
  <si>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</si>
  <si>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</si>
  <si>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</si>
  <si>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</si>
  <si>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</si>
  <si>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</si>
  <si>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</si>
  <si>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</si>
  <si>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</si>
  <si>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</si>
  <si>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</si>
  <si>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</si>
  <si>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</si>
  <si>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</si>
  <si>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</si>
  <si>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</si>
  <si>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</si>
  <si>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</si>
  <si>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</si>
  <si>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</si>
  <si>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</si>
  <si>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</si>
  <si>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</si>
  <si>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</si>
  <si>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</si>
  <si>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</si>
  <si>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</si>
  <si>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</si>
  <si>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</si>
  <si>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</si>
  <si>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</si>
  <si>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</si>
  <si>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</si>
  <si>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</si>
  <si>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</si>
  <si>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</si>
  <si>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</si>
  <si>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</si>
  <si>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</si>
  <si>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</si>
  <si>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</si>
  <si>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</si>
  <si>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</si>
  <si>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</si>
  <si>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</si>
  <si>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</si>
  <si>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</si>
  <si>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</si>
  <si>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</si>
  <si>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</si>
  <si>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</si>
  <si>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</si>
  <si>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</si>
  <si>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</si>
  <si>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</si>
  <si>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</si>
  <si>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</si>
  <si>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</si>
  <si>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</si>
  <si>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</si>
  <si>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</si>
  <si>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</si>
  <si>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</si>
  <si>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</si>
  <si>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</si>
  <si>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</si>
  <si>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</si>
  <si>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</si>
  <si>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</si>
  <si>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</si>
  <si>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</si>
  <si>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</si>
  <si>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</si>
  <si>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</si>
  <si>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</si>
  <si>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</si>
  <si>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</si>
  <si>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</si>
  <si>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</si>
  <si>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</si>
  <si>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</si>
  <si>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</si>
  <si>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</si>
  <si>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</si>
  <si>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</si>
  <si>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</si>
  <si>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</si>
  <si>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</si>
  <si>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</si>
  <si>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</si>
  <si>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</si>
  <si>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</si>
  <si>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</si>
  <si>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</si>
  <si>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</si>
  <si>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</si>
  <si>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</si>
  <si>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</si>
  <si>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</si>
  <si>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</si>
  <si>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</si>
  <si>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</si>
  <si>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</si>
  <si>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</si>
  <si>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</si>
  <si>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</si>
  <si>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</si>
  <si>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</si>
  <si>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</si>
  <si>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</si>
  <si>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</si>
  <si>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</si>
  <si>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</si>
  <si>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</si>
  <si>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</si>
  <si>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</si>
  <si>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</si>
  <si>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</si>
  <si>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</si>
  <si>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</si>
  <si>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</si>
  <si>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</si>
  <si>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</si>
  <si>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</si>
  <si>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</si>
  <si>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</si>
  <si>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</si>
  <si>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</si>
  <si>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</si>
  <si>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</si>
  <si>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</si>
  <si>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</si>
  <si>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</si>
  <si>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</si>
  <si>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</si>
  <si>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</si>
  <si>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</si>
  <si>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</si>
  <si>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</si>
  <si>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</si>
  <si>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</si>
  <si>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</si>
  <si>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</si>
  <si>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</si>
  <si>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</si>
  <si>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</si>
  <si>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</si>
  <si>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</si>
  <si>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</si>
  <si>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</si>
  <si>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</si>
  <si>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</si>
  <si>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</si>
  <si>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</si>
  <si>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</si>
  <si>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</si>
  <si>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</si>
  <si>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</si>
  <si>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</si>
  <si>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</si>
  <si>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</si>
  <si>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</si>
  <si>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</si>
  <si>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</si>
  <si>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</si>
  <si>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</si>
  <si>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</si>
  <si>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</si>
  <si>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</si>
  <si>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</si>
  <si>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</si>
  <si>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</si>
  <si>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</si>
  <si>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</si>
  <si>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</si>
  <si>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</si>
  <si>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</si>
  <si>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</si>
  <si>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</si>
  <si>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</si>
  <si>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</si>
  <si>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</si>
  <si>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</si>
  <si>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</si>
  <si>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</si>
  <si>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</si>
  <si>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</si>
  <si>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</si>
  <si>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</si>
  <si>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</si>
  <si>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</si>
  <si>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</si>
  <si>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</si>
  <si>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</si>
  <si>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</si>
  <si>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</si>
  <si>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</si>
  <si>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</si>
  <si>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</si>
  <si>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</si>
  <si>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</si>
  <si>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</si>
  <si>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</si>
  <si>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</si>
  <si>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</si>
  <si>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</si>
  <si>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</si>
  <si>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</si>
  <si>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</si>
  <si>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</si>
  <si>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</si>
  <si>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</si>
  <si>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</si>
  <si>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</si>
  <si>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</si>
  <si>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</si>
  <si>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</si>
  <si>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</si>
  <si>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</si>
  <si>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</si>
  <si>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</si>
  <si>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</si>
  <si>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</si>
  <si>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</si>
  <si>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</si>
  <si>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</si>
  <si>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</si>
  <si>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</si>
  <si>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</si>
  <si>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</si>
  <si>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</si>
  <si>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</si>
  <si>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</si>
  <si>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</si>
  <si>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</si>
  <si>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</si>
  <si>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</si>
  <si>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</si>
  <si>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</si>
  <si>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</si>
  <si>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</si>
  <si>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</si>
  <si>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</si>
  <si>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</si>
  <si>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</si>
  <si>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</si>
  <si>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</si>
  <si>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</si>
  <si>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</si>
  <si>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</si>
  <si>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</si>
  <si>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</si>
  <si>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</si>
  <si>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</si>
  <si>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</si>
  <si>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</si>
  <si>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</si>
  <si>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</si>
  <si>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</si>
  <si>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</si>
  <si>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</si>
  <si>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</si>
  <si>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</si>
  <si>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</si>
  <si>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</si>
  <si>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</si>
  <si>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</si>
  <si>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</si>
  <si>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</si>
  <si>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</si>
  <si>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</si>
  <si>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</si>
  <si>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</si>
  <si>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</si>
  <si>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</si>
  <si>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</si>
  <si>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</si>
  <si>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</si>
  <si>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</si>
  <si>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</si>
  <si>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</si>
  <si>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</si>
  <si>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</si>
  <si>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</si>
  <si>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</si>
  <si>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</si>
  <si>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</si>
  <si>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</si>
  <si>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</si>
  <si>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</si>
  <si>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</si>
  <si>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</si>
  <si>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</si>
  <si>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</si>
  <si>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</si>
  <si>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</si>
  <si>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</si>
  <si>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</si>
  <si>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</si>
  <si>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</si>
  <si>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</si>
  <si>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</si>
  <si>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</si>
  <si>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</si>
  <si>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</si>
  <si>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</si>
  <si>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</si>
  <si>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</si>
  <si>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</si>
  <si>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</si>
  <si>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</si>
  <si>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</si>
  <si>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</si>
  <si>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</si>
  <si>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</si>
  <si>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</si>
  <si>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</si>
  <si>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</si>
  <si>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</si>
  <si>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</si>
  <si>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</si>
  <si>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</si>
  <si>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</si>
  <si>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</si>
  <si>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</si>
  <si>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</si>
  <si>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</si>
  <si>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</si>
  <si>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</si>
  <si>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</si>
  <si>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</si>
  <si>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</si>
  <si>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</si>
  <si>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</si>
  <si>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</si>
  <si>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</si>
  <si>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</si>
  <si>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</si>
  <si>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</si>
  <si>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</si>
  <si>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</si>
  <si>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</si>
  <si>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</si>
  <si>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</si>
  <si>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</si>
  <si>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</si>
  <si>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</si>
  <si>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</si>
  <si>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</si>
  <si>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</si>
  <si>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</si>
  <si>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</si>
  <si>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</si>
  <si>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</si>
  <si>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</si>
  <si>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</si>
  <si>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</si>
  <si>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</si>
  <si>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</si>
  <si>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</si>
  <si>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</si>
  <si>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</si>
  <si>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</si>
  <si>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</si>
  <si>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</si>
  <si>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</si>
  <si>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</si>
  <si>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</si>
  <si>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</si>
  <si>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</si>
  <si>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</si>
  <si>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</si>
  <si>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</si>
  <si>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</si>
  <si>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</si>
  <si>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</si>
  <si>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</si>
  <si>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</si>
  <si>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</si>
  <si>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</si>
  <si>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</si>
  <si>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</si>
  <si>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</si>
  <si>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</si>
  <si>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</si>
  <si>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</si>
  <si>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</si>
  <si>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</si>
  <si>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</si>
  <si>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</si>
  <si>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</si>
  <si>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</si>
  <si>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</si>
  <si>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</si>
  <si>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</si>
  <si>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</si>
  <si>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</si>
  <si>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</si>
  <si>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</si>
  <si>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</si>
  <si>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</si>
  <si>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</si>
  <si>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</si>
  <si>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</si>
  <si>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</si>
  <si>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</si>
  <si>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</si>
  <si>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</si>
  <si>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</si>
  <si>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</si>
  <si>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</si>
  <si>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</si>
  <si>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</si>
  <si>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</si>
  <si>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</si>
  <si>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</si>
  <si>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</si>
  <si>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</si>
  <si>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</si>
  <si>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</si>
  <si>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</si>
  <si>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</si>
  <si>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</si>
  <si>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</si>
  <si>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</si>
  <si>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</si>
  <si>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</si>
  <si>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</si>
  <si>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</si>
  <si>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</si>
  <si>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</si>
  <si>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</si>
  <si>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</si>
  <si>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</si>
  <si>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</si>
  <si>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</si>
  <si>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</si>
  <si>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</si>
  <si>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</si>
  <si>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</si>
  <si>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</si>
  <si>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</si>
  <si>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</si>
  <si>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</si>
  <si>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</si>
  <si>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</si>
  <si>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</si>
  <si>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</si>
  <si>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</si>
  <si>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</si>
  <si>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</si>
  <si>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</si>
  <si>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</si>
  <si>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</si>
  <si>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</si>
  <si>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</si>
  <si>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</si>
  <si>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</si>
  <si>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</si>
  <si>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</si>
  <si>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</si>
  <si>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</si>
  <si>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</si>
  <si>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</si>
  <si>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</si>
  <si>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</si>
  <si>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</si>
  <si>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</si>
  <si>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</si>
  <si>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</si>
  <si>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</si>
  <si>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</si>
  <si>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</si>
  <si>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</si>
  <si>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</si>
  <si>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</si>
  <si>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</si>
  <si>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</si>
  <si>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</si>
  <si>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</si>
  <si>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</si>
  <si>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</si>
  <si>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</si>
  <si>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</si>
  <si>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</si>
  <si>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</si>
  <si>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</si>
  <si>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</si>
  <si>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</si>
  <si>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</si>
  <si>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</si>
  <si>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</si>
  <si>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</si>
  <si>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</si>
  <si>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</si>
  <si>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</si>
  <si>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</si>
  <si>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</si>
  <si>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</si>
  <si>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</si>
  <si>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</si>
  <si>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</si>
  <si>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</si>
  <si>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</si>
  <si>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</si>
  <si>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</si>
  <si>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</si>
  <si>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</si>
  <si>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</si>
  <si>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</si>
  <si>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</si>
  <si>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</si>
  <si>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</si>
  <si>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</si>
  <si>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</si>
  <si>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</si>
  <si>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</si>
  <si>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</si>
  <si>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</si>
  <si>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</si>
  <si>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</si>
  <si>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</si>
  <si>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</si>
  <si>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</si>
  <si>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</si>
  <si>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</si>
  <si>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</si>
  <si>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</si>
  <si>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</si>
  <si>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</si>
  <si>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</si>
  <si>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</si>
  <si>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</si>
  <si>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</si>
  <si>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</si>
  <si>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</si>
  <si>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</si>
  <si>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</si>
  <si>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</si>
  <si>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</si>
  <si>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</si>
  <si>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</si>
  <si>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</si>
  <si>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</si>
  <si>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</si>
  <si>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</si>
  <si>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</si>
  <si>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</si>
  <si>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</si>
  <si>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</si>
  <si>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</si>
  <si>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</si>
  <si>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</si>
  <si>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</si>
  <si>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</si>
  <si>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</si>
  <si>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</si>
  <si>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</si>
  <si>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</si>
  <si>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</si>
  <si>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</si>
  <si>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</si>
  <si>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</si>
  <si>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</si>
  <si>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</si>
  <si>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</si>
  <si>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</si>
  <si>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</si>
  <si>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</si>
  <si>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</si>
  <si>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</si>
  <si>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</si>
  <si>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</si>
  <si>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</si>
  <si>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</si>
  <si>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</si>
  <si>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</si>
  <si>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</si>
  <si>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</si>
  <si>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</si>
  <si>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</si>
  <si>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</si>
  <si>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</si>
  <si>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</si>
  <si>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</si>
  <si>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</si>
  <si>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</si>
  <si>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</si>
  <si>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</si>
  <si>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</si>
  <si>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</si>
  <si>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</si>
  <si>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</si>
  <si>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</si>
  <si>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</si>
  <si>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</si>
  <si>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</si>
  <si>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</si>
  <si>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</si>
  <si>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</si>
  <si>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</si>
  <si>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</si>
  <si>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</si>
  <si>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</si>
  <si>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</si>
  <si>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</si>
  <si>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</si>
  <si>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</si>
  <si>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</si>
  <si>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</si>
  <si>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</si>
  <si>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</si>
  <si>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</si>
  <si>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</si>
  <si>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</si>
  <si>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</si>
  <si>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</si>
  <si>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</si>
  <si>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</si>
  <si>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</si>
  <si>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</si>
  <si>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</si>
  <si>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</si>
  <si>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</si>
  <si>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</si>
  <si>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</si>
  <si>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</si>
  <si>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</si>
  <si>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</si>
  <si>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</si>
  <si>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</si>
  <si>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</si>
  <si>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</si>
  <si>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</si>
  <si>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</si>
  <si>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</si>
  <si>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</si>
  <si>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</si>
  <si>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</si>
  <si>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</si>
  <si>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</si>
  <si>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</si>
  <si>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</si>
  <si>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</si>
  <si>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</si>
  <si>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</si>
  <si>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</si>
  <si>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</si>
  <si>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</si>
  <si>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</si>
  <si>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</si>
  <si>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</si>
  <si>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</si>
  <si>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</si>
  <si>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</si>
  <si>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</si>
  <si>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</si>
  <si>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</si>
  <si>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</si>
  <si>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</si>
  <si>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</si>
  <si>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</si>
  <si>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</si>
  <si>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</si>
  <si>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</si>
  <si>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</si>
  <si>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</si>
  <si>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</si>
  <si>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</si>
  <si>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</si>
  <si>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</si>
  <si>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</si>
  <si>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</si>
  <si>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</si>
  <si>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</si>
  <si>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</si>
  <si>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</si>
  <si>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</si>
  <si>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</si>
  <si>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</si>
  <si>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</si>
  <si>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</si>
  <si>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</si>
  <si>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</si>
  <si>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</si>
  <si>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</si>
  <si>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</si>
  <si>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</si>
  <si>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</si>
  <si>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</si>
  <si>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</si>
  <si>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</si>
  <si>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</si>
  <si>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</si>
  <si>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</si>
  <si>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</si>
  <si>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</si>
  <si>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</si>
  <si>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</si>
  <si>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</si>
  <si>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</si>
  <si>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</si>
  <si>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</si>
  <si>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</si>
  <si>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</si>
  <si>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</si>
  <si>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</si>
  <si>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</si>
  <si>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</si>
  <si>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</si>
  <si>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</si>
  <si>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</si>
  <si>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</si>
  <si>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</si>
  <si>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</si>
  <si>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</si>
  <si>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</si>
  <si>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</si>
  <si>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</si>
  <si>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</si>
  <si>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</si>
  <si>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</si>
  <si>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</si>
  <si>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</si>
  <si>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</si>
  <si>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</si>
  <si>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</si>
  <si>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</si>
  <si>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</si>
  <si>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</si>
  <si>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</si>
  <si>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</si>
  <si>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</si>
  <si>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</si>
  <si>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</si>
  <si>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</si>
  <si>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</si>
  <si>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</si>
  <si>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</si>
  <si>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</si>
  <si>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</si>
  <si>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</si>
  <si>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</si>
  <si>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</si>
  <si>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</si>
  <si>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</si>
  <si>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</si>
  <si>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</si>
  <si>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</si>
  <si>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</si>
  <si>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</si>
  <si>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</si>
  <si>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</si>
  <si>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</si>
  <si>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</si>
  <si>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</si>
  <si>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</si>
  <si>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</si>
  <si>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</si>
  <si>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</si>
  <si>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</si>
  <si>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</si>
  <si>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</si>
  <si>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</si>
  <si>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</si>
  <si>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</si>
  <si>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</si>
  <si>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</si>
  <si>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</si>
  <si>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</si>
  <si>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</si>
  <si>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</si>
  <si>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</si>
  <si>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</si>
  <si>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</si>
  <si>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</si>
  <si>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</si>
  <si>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</si>
  <si>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</si>
  <si>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</si>
  <si>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</si>
  <si>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</si>
  <si>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</si>
  <si>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</si>
  <si>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</si>
  <si>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</si>
  <si>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</si>
  <si>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</si>
  <si>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</si>
  <si>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</si>
  <si>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</si>
  <si>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</si>
  <si>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</si>
  <si>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</si>
  <si>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</si>
  <si>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</si>
  <si>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</si>
  <si>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</si>
  <si>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</si>
  <si>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</si>
  <si>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</si>
  <si>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</si>
  <si>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</si>
  <si>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</si>
  <si>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</si>
  <si>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</si>
  <si>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</si>
  <si>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</si>
  <si>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</si>
  <si>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</si>
  <si>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</si>
  <si>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</si>
  <si>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</si>
  <si>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</si>
  <si>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</si>
  <si>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</si>
  <si>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</si>
  <si>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</si>
  <si>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</si>
  <si>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</si>
  <si>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</si>
  <si>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</si>
  <si>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</si>
  <si>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</si>
  <si>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</si>
  <si>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</si>
  <si>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</si>
  <si>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</si>
  <si>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</si>
  <si>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</si>
  <si>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</si>
  <si>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</si>
  <si>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</si>
  <si>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</si>
  <si>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</si>
  <si>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</si>
  <si>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</si>
  <si>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</si>
  <si>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</si>
  <si>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</si>
  <si>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</si>
  <si>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</si>
  <si>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</si>
  <si>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</si>
  <si>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</si>
  <si>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</si>
  <si>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</si>
  <si>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</si>
  <si>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</si>
  <si>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</si>
  <si>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</si>
  <si>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</si>
  <si>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</si>
  <si>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</si>
  <si>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</si>
  <si>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</si>
  <si>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</si>
  <si>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</si>
  <si>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</si>
  <si>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</si>
  <si>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</si>
  <si>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</si>
  <si>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</si>
  <si>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</si>
  <si>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</si>
  <si>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</si>
  <si>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</si>
  <si>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</si>
  <si>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</si>
  <si>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</si>
  <si>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</si>
  <si>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</si>
  <si>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</si>
  <si>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</si>
  <si>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</si>
  <si>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</si>
  <si>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</si>
  <si>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</si>
  <si>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</si>
  <si>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</si>
  <si>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</si>
  <si>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</si>
  <si>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</si>
  <si>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</si>
  <si>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</si>
  <si>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Marlow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</si>
</sst>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341</v>
      </c>
      <c r="C2" s="21">
        <v>341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-26433.03+-14570.4</f>
        <v>-41003.43</v>
      </c>
      <c r="G9" s="18"/>
      <c r="H9" s="18">
        <v>0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473790.26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0+1244.89</f>
        <v>1244.8900000000001</v>
      </c>
      <c r="G12" s="18"/>
      <c r="H12" s="18">
        <v>0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47223.12</v>
      </c>
      <c r="G13" s="18"/>
      <c r="H13" s="18">
        <v>1332.74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7464.5800000000017</v>
      </c>
      <c r="G19" s="41">
        <f>SUM(G9:G18)</f>
        <v>0</v>
      </c>
      <c r="H19" s="41">
        <f>SUM(H9:H18)</f>
        <v>1332.74</v>
      </c>
      <c r="I19" s="41">
        <f>SUM(I9:I18)</f>
        <v>0</v>
      </c>
      <c r="J19" s="41">
        <f>SUM(J9:J18)</f>
        <v>473790.26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1244.8900000000001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663.88</v>
      </c>
      <c r="G23" s="18"/>
      <c r="H23" s="18">
        <v>87.85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5940.14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860.56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7464.58</v>
      </c>
      <c r="G32" s="41">
        <f>SUM(G22:G31)</f>
        <v>0</v>
      </c>
      <c r="H32" s="41">
        <f>SUM(H22:H31)</f>
        <v>1332.74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473790.26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473790.26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7464.58</v>
      </c>
      <c r="G52" s="41">
        <f>G51+G32</f>
        <v>0</v>
      </c>
      <c r="H52" s="41">
        <f>H51+H32</f>
        <v>1332.74</v>
      </c>
      <c r="I52" s="41">
        <f>I51+I32</f>
        <v>0</v>
      </c>
      <c r="J52" s="41">
        <f>J51+J32</f>
        <v>473790.26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701879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701879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4900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4900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124.44</v>
      </c>
      <c r="G96" s="18"/>
      <c r="H96" s="18"/>
      <c r="I96" s="18"/>
      <c r="J96" s="18">
        <f>3719.88+6786.68+1352.86</f>
        <v>11859.420000000002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1143.37+4320.31</f>
        <v>5463.68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5618.12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11859.420000000002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712397.12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11859.420000000002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495805.38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141825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637630.38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0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637630.38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0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5474.03+1588.28</f>
        <v>7062.3099999999995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1250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11074.24+1653.35</f>
        <v>12727.59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17392.93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17392.93</v>
      </c>
      <c r="G162" s="41">
        <f>SUM(G150:G161)</f>
        <v>0</v>
      </c>
      <c r="H162" s="41">
        <f>SUM(H150:H161)</f>
        <v>21039.9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17392.93</v>
      </c>
      <c r="G169" s="41">
        <f>G147+G162+SUM(G163:G168)</f>
        <v>0</v>
      </c>
      <c r="H169" s="41">
        <f>H147+H162+SUM(H163:H168)</f>
        <v>21039.9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9394.3700000000008</v>
      </c>
      <c r="H179" s="18"/>
      <c r="I179" s="18"/>
      <c r="J179" s="18">
        <f>25000+5000</f>
        <v>30000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9394.3700000000008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44126.87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44126.87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44126.87</v>
      </c>
      <c r="G192" s="41">
        <f>G183+SUM(G188:G191)</f>
        <v>9394.3700000000008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1411547.3</v>
      </c>
      <c r="G193" s="47">
        <f>G112+G140+G169+G192</f>
        <v>9394.3700000000008</v>
      </c>
      <c r="H193" s="47">
        <f>H112+H140+H169+H192</f>
        <v>21039.9</v>
      </c>
      <c r="I193" s="47">
        <f>I112+I140+I169+I192</f>
        <v>0</v>
      </c>
      <c r="J193" s="47">
        <f>J112+J140+J192</f>
        <v>41859.42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226064.84</v>
      </c>
      <c r="G197" s="18">
        <v>107426.07</v>
      </c>
      <c r="H197" s="18">
        <v>8512.19</v>
      </c>
      <c r="I197" s="18">
        <v>8690.4500000000007</v>
      </c>
      <c r="J197" s="18">
        <v>915.45</v>
      </c>
      <c r="K197" s="18">
        <v>0</v>
      </c>
      <c r="L197" s="19">
        <f>SUM(F197:K197)</f>
        <v>351609.00000000006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75596.2</v>
      </c>
      <c r="G198" s="18">
        <v>11612.36</v>
      </c>
      <c r="H198" s="18">
        <v>106874.18</v>
      </c>
      <c r="I198" s="18">
        <v>28</v>
      </c>
      <c r="J198" s="18">
        <v>0</v>
      </c>
      <c r="K198" s="18">
        <v>0</v>
      </c>
      <c r="L198" s="19">
        <f>SUM(F198:K198)</f>
        <v>194110.74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881.78</v>
      </c>
      <c r="G200" s="18">
        <v>134.61000000000001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1016.39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5106.38</v>
      </c>
      <c r="G202" s="18">
        <v>409.62</v>
      </c>
      <c r="H202" s="18">
        <f>12039.37+24416.52+8680.5+6690.14</f>
        <v>51826.53</v>
      </c>
      <c r="I202" s="18">
        <f>321.18+39.87</f>
        <v>361.05</v>
      </c>
      <c r="J202" s="18">
        <v>0</v>
      </c>
      <c r="K202" s="18">
        <v>0</v>
      </c>
      <c r="L202" s="19">
        <f t="shared" ref="L202:L208" si="0">SUM(F202:K202)</f>
        <v>57703.58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725+800+17009.98</f>
        <v>18534.98</v>
      </c>
      <c r="G203" s="18">
        <f>170.95+201.31+1364.22</f>
        <v>1736.48</v>
      </c>
      <c r="H203" s="18">
        <v>4539.88</v>
      </c>
      <c r="I203" s="18">
        <v>997.45</v>
      </c>
      <c r="J203" s="18">
        <v>0</v>
      </c>
      <c r="K203" s="18">
        <v>0</v>
      </c>
      <c r="L203" s="19">
        <f t="shared" si="0"/>
        <v>25808.79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2227.5+0+1750</f>
        <v>3977.5</v>
      </c>
      <c r="G204" s="18">
        <f>178.66+140.36+6000</f>
        <v>6319.02</v>
      </c>
      <c r="H204" s="18">
        <f>808.87+50+100+7600+50+49054</f>
        <v>57662.87</v>
      </c>
      <c r="I204" s="18">
        <v>0</v>
      </c>
      <c r="J204" s="18">
        <v>0</v>
      </c>
      <c r="K204" s="18">
        <v>0</v>
      </c>
      <c r="L204" s="19">
        <f t="shared" si="0"/>
        <v>67959.39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90110.86</v>
      </c>
      <c r="G205" s="18">
        <v>26962.01</v>
      </c>
      <c r="H205" s="18">
        <v>7279.97</v>
      </c>
      <c r="I205" s="18">
        <v>1506.21</v>
      </c>
      <c r="J205" s="18">
        <v>0</v>
      </c>
      <c r="K205" s="18">
        <v>0</v>
      </c>
      <c r="L205" s="19">
        <f t="shared" si="0"/>
        <v>125859.05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18564.68</v>
      </c>
      <c r="G207" s="18">
        <v>2042.01</v>
      </c>
      <c r="H207" s="18">
        <v>11487.23</v>
      </c>
      <c r="I207" s="18">
        <v>14980.2</v>
      </c>
      <c r="J207" s="18">
        <v>36.97</v>
      </c>
      <c r="K207" s="18">
        <v>0</v>
      </c>
      <c r="L207" s="19">
        <f t="shared" si="0"/>
        <v>47111.09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f>35560+35720.25</f>
        <v>71280.25</v>
      </c>
      <c r="I208" s="18">
        <v>0</v>
      </c>
      <c r="J208" s="18">
        <v>0</v>
      </c>
      <c r="K208" s="18">
        <v>0</v>
      </c>
      <c r="L208" s="19">
        <f t="shared" si="0"/>
        <v>71280.25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523</v>
      </c>
      <c r="I209" s="18">
        <v>0</v>
      </c>
      <c r="J209" s="18">
        <v>0</v>
      </c>
      <c r="K209" s="18">
        <v>0</v>
      </c>
      <c r="L209" s="19">
        <f>SUM(F209:K209)</f>
        <v>523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438837.22</v>
      </c>
      <c r="G211" s="41">
        <f t="shared" si="1"/>
        <v>156642.18000000002</v>
      </c>
      <c r="H211" s="41">
        <f t="shared" si="1"/>
        <v>319986.09999999998</v>
      </c>
      <c r="I211" s="41">
        <f t="shared" si="1"/>
        <v>26563.360000000001</v>
      </c>
      <c r="J211" s="41">
        <f t="shared" si="1"/>
        <v>952.42000000000007</v>
      </c>
      <c r="K211" s="41">
        <f t="shared" si="1"/>
        <v>0</v>
      </c>
      <c r="L211" s="41">
        <f t="shared" si="1"/>
        <v>942981.28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53222.3</v>
      </c>
      <c r="I215" s="18"/>
      <c r="J215" s="18"/>
      <c r="K215" s="18"/>
      <c r="L215" s="19">
        <f>SUM(F215:K215)</f>
        <v>53222.3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55077.77</v>
      </c>
      <c r="I216" s="18"/>
      <c r="J216" s="18"/>
      <c r="K216" s="18"/>
      <c r="L216" s="19">
        <f>SUM(F216:K216)</f>
        <v>55077.77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12417.78</v>
      </c>
      <c r="I226" s="18"/>
      <c r="J226" s="18"/>
      <c r="K226" s="18"/>
      <c r="L226" s="19">
        <f t="shared" si="2"/>
        <v>12417.78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120717.85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120717.85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328769.45</v>
      </c>
      <c r="I233" s="18"/>
      <c r="J233" s="18"/>
      <c r="K233" s="18"/>
      <c r="L233" s="19">
        <f>SUM(F233:K233)</f>
        <v>328769.45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88353</v>
      </c>
      <c r="I234" s="18"/>
      <c r="J234" s="18"/>
      <c r="K234" s="18"/>
      <c r="L234" s="19">
        <f>SUM(F234:K234)</f>
        <v>88353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19397.599999999999</v>
      </c>
      <c r="I244" s="18"/>
      <c r="J244" s="18"/>
      <c r="K244" s="18"/>
      <c r="L244" s="19">
        <f t="shared" si="4"/>
        <v>19397.599999999999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436520.05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436520.05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>
        <v>500</v>
      </c>
      <c r="L253" s="19">
        <f t="shared" si="6"/>
        <v>500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500</v>
      </c>
      <c r="L256" s="41">
        <f>SUM(F256:K256)</f>
        <v>500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438837.22</v>
      </c>
      <c r="G257" s="41">
        <f t="shared" si="8"/>
        <v>156642.18000000002</v>
      </c>
      <c r="H257" s="41">
        <f t="shared" si="8"/>
        <v>877224</v>
      </c>
      <c r="I257" s="41">
        <f t="shared" si="8"/>
        <v>26563.360000000001</v>
      </c>
      <c r="J257" s="41">
        <f t="shared" si="8"/>
        <v>952.42000000000007</v>
      </c>
      <c r="K257" s="41">
        <f t="shared" si="8"/>
        <v>500</v>
      </c>
      <c r="L257" s="41">
        <f t="shared" si="8"/>
        <v>1500719.1800000002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9394.3700000000008</v>
      </c>
      <c r="L263" s="19">
        <f>SUM(F263:K263)</f>
        <v>9394.3700000000008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30000</v>
      </c>
      <c r="L266" s="19">
        <f t="shared" si="9"/>
        <v>30000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39394.370000000003</v>
      </c>
      <c r="L270" s="41">
        <f t="shared" si="9"/>
        <v>39394.370000000003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438837.22</v>
      </c>
      <c r="G271" s="42">
        <f t="shared" si="11"/>
        <v>156642.18000000002</v>
      </c>
      <c r="H271" s="42">
        <f t="shared" si="11"/>
        <v>877224</v>
      </c>
      <c r="I271" s="42">
        <f t="shared" si="11"/>
        <v>26563.360000000001</v>
      </c>
      <c r="J271" s="42">
        <f t="shared" si="11"/>
        <v>952.42000000000007</v>
      </c>
      <c r="K271" s="42">
        <f t="shared" si="11"/>
        <v>39894.370000000003</v>
      </c>
      <c r="L271" s="42">
        <f t="shared" si="11"/>
        <v>1540113.5500000003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2858.21</v>
      </c>
      <c r="G277" s="18">
        <f>218.63+10.56</f>
        <v>229.19</v>
      </c>
      <c r="H277" s="18"/>
      <c r="I277" s="18"/>
      <c r="J277" s="18">
        <f>1066+1066</f>
        <v>2132</v>
      </c>
      <c r="K277" s="18"/>
      <c r="L277" s="19">
        <f>SUM(F277:K277)</f>
        <v>5219.3999999999996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250</v>
      </c>
      <c r="G279" s="18"/>
      <c r="H279" s="18"/>
      <c r="I279" s="18"/>
      <c r="J279" s="18">
        <v>1000</v>
      </c>
      <c r="K279" s="18"/>
      <c r="L279" s="19">
        <f>SUM(F279:K279)</f>
        <v>1250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164.44</v>
      </c>
      <c r="J281" s="18">
        <v>344.46</v>
      </c>
      <c r="K281" s="18"/>
      <c r="L281" s="19">
        <f t="shared" ref="L281:L287" si="12">SUM(F281:K281)</f>
        <v>508.9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3150</v>
      </c>
      <c r="G282" s="18">
        <f>234.9+546.84+11.64</f>
        <v>793.38</v>
      </c>
      <c r="H282" s="18">
        <f>508+499+1064.33</f>
        <v>2071.33</v>
      </c>
      <c r="I282" s="18">
        <v>781.92</v>
      </c>
      <c r="J282" s="18"/>
      <c r="K282" s="18"/>
      <c r="L282" s="19">
        <f t="shared" si="12"/>
        <v>6796.63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240.73+24.95+527.34+78.45</f>
        <v>871.47</v>
      </c>
      <c r="L285" s="19">
        <f t="shared" si="12"/>
        <v>871.47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6393.5</v>
      </c>
      <c r="I287" s="18"/>
      <c r="J287" s="18"/>
      <c r="K287" s="18"/>
      <c r="L287" s="19">
        <f t="shared" si="12"/>
        <v>6393.5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6258.21</v>
      </c>
      <c r="G290" s="42">
        <f t="shared" si="13"/>
        <v>1022.5699999999999</v>
      </c>
      <c r="H290" s="42">
        <f t="shared" si="13"/>
        <v>8464.83</v>
      </c>
      <c r="I290" s="42">
        <f t="shared" si="13"/>
        <v>946.3599999999999</v>
      </c>
      <c r="J290" s="42">
        <f t="shared" si="13"/>
        <v>3476.46</v>
      </c>
      <c r="K290" s="42">
        <f t="shared" si="13"/>
        <v>871.47</v>
      </c>
      <c r="L290" s="41">
        <f t="shared" si="13"/>
        <v>21039.9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6258.21</v>
      </c>
      <c r="G338" s="41">
        <f t="shared" si="20"/>
        <v>1022.5699999999999</v>
      </c>
      <c r="H338" s="41">
        <f t="shared" si="20"/>
        <v>8464.83</v>
      </c>
      <c r="I338" s="41">
        <f t="shared" si="20"/>
        <v>946.3599999999999</v>
      </c>
      <c r="J338" s="41">
        <f t="shared" si="20"/>
        <v>3476.46</v>
      </c>
      <c r="K338" s="41">
        <f t="shared" si="20"/>
        <v>871.47</v>
      </c>
      <c r="L338" s="41">
        <f t="shared" si="20"/>
        <v>21039.9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6258.21</v>
      </c>
      <c r="G352" s="41">
        <f>G338</f>
        <v>1022.5699999999999</v>
      </c>
      <c r="H352" s="41">
        <f>H338</f>
        <v>8464.83</v>
      </c>
      <c r="I352" s="41">
        <f>I338</f>
        <v>946.3599999999999</v>
      </c>
      <c r="J352" s="41">
        <f>J338</f>
        <v>3476.46</v>
      </c>
      <c r="K352" s="47">
        <f>K338+K351</f>
        <v>871.47</v>
      </c>
      <c r="L352" s="41">
        <f>L338+L351</f>
        <v>21039.9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5463</v>
      </c>
      <c r="G358" s="18">
        <f>417.93+183.61</f>
        <v>601.54</v>
      </c>
      <c r="H358" s="18">
        <v>3147.61</v>
      </c>
      <c r="I358" s="18">
        <f>5.92+176.3</f>
        <v>182.22</v>
      </c>
      <c r="J358" s="18"/>
      <c r="K358" s="18"/>
      <c r="L358" s="13">
        <f>SUM(F358:K358)</f>
        <v>9394.369999999999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5463</v>
      </c>
      <c r="G362" s="47">
        <f t="shared" si="22"/>
        <v>601.54</v>
      </c>
      <c r="H362" s="47">
        <f t="shared" si="22"/>
        <v>3147.61</v>
      </c>
      <c r="I362" s="47">
        <f t="shared" si="22"/>
        <v>182.22</v>
      </c>
      <c r="J362" s="47">
        <f t="shared" si="22"/>
        <v>0</v>
      </c>
      <c r="K362" s="47">
        <f t="shared" si="22"/>
        <v>0</v>
      </c>
      <c r="L362" s="47">
        <f t="shared" si="22"/>
        <v>9394.369999999999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182.22</v>
      </c>
      <c r="G368" s="63"/>
      <c r="H368" s="63"/>
      <c r="I368" s="56">
        <f>SUM(F368:H368)</f>
        <v>182.22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182.22</v>
      </c>
      <c r="G369" s="47">
        <f>SUM(G367:G368)</f>
        <v>0</v>
      </c>
      <c r="H369" s="47">
        <f>SUM(H367:H368)</f>
        <v>0</v>
      </c>
      <c r="I369" s="47">
        <f>SUM(I367:I368)</f>
        <v>182.22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25000</v>
      </c>
      <c r="H389" s="18">
        <v>3719.88</v>
      </c>
      <c r="I389" s="18"/>
      <c r="J389" s="24" t="s">
        <v>286</v>
      </c>
      <c r="K389" s="24" t="s">
        <v>286</v>
      </c>
      <c r="L389" s="56">
        <f t="shared" si="25"/>
        <v>28719.88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3719.88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28719.88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5000</v>
      </c>
      <c r="H398" s="18">
        <v>6786.68</v>
      </c>
      <c r="I398" s="18"/>
      <c r="J398" s="24" t="s">
        <v>286</v>
      </c>
      <c r="K398" s="24" t="s">
        <v>286</v>
      </c>
      <c r="L398" s="56">
        <f t="shared" si="26"/>
        <v>11786.68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0</v>
      </c>
      <c r="H400" s="18">
        <v>1352.86</v>
      </c>
      <c r="I400" s="18"/>
      <c r="J400" s="24" t="s">
        <v>286</v>
      </c>
      <c r="K400" s="24" t="s">
        <v>286</v>
      </c>
      <c r="L400" s="56">
        <f t="shared" si="26"/>
        <v>1352.86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8139.54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13139.54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11859.42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41859.42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152332.59</v>
      </c>
      <c r="G440" s="18">
        <f>268227.01+53230.66</f>
        <v>321457.67000000004</v>
      </c>
      <c r="H440" s="18"/>
      <c r="I440" s="56">
        <f t="shared" si="33"/>
        <v>473790.26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152332.59</v>
      </c>
      <c r="G446" s="13">
        <f>SUM(G439:G445)</f>
        <v>321457.67000000004</v>
      </c>
      <c r="H446" s="13">
        <f>SUM(H439:H445)</f>
        <v>0</v>
      </c>
      <c r="I446" s="13">
        <f>SUM(I439:I445)</f>
        <v>473790.26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152332.59</v>
      </c>
      <c r="G459" s="18">
        <v>321457.67</v>
      </c>
      <c r="H459" s="18"/>
      <c r="I459" s="56">
        <f t="shared" si="34"/>
        <v>473790.26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152332.59</v>
      </c>
      <c r="G460" s="83">
        <f>SUM(G454:G459)</f>
        <v>321457.67</v>
      </c>
      <c r="H460" s="83">
        <f>SUM(H454:H459)</f>
        <v>0</v>
      </c>
      <c r="I460" s="83">
        <f>SUM(I454:I459)</f>
        <v>473790.26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152332.59</v>
      </c>
      <c r="G461" s="42">
        <f>G452+G460</f>
        <v>321457.67</v>
      </c>
      <c r="H461" s="42">
        <f>H452+H460</f>
        <v>0</v>
      </c>
      <c r="I461" s="42">
        <f>I452+I460</f>
        <v>473790.26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128566.25</v>
      </c>
      <c r="G465" s="18">
        <v>0</v>
      </c>
      <c r="H465" s="18">
        <v>0</v>
      </c>
      <c r="I465" s="18">
        <v>0</v>
      </c>
      <c r="J465" s="18">
        <v>431930.84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1411547.3</v>
      </c>
      <c r="G468" s="18">
        <v>9394.3700000000008</v>
      </c>
      <c r="H468" s="18">
        <v>21039.9</v>
      </c>
      <c r="I468" s="18">
        <v>0</v>
      </c>
      <c r="J468" s="18">
        <f>30000+6786.68+3719.88+1352.86</f>
        <v>41859.42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1411547.3</v>
      </c>
      <c r="G470" s="53">
        <f>SUM(G468:G469)</f>
        <v>9394.3700000000008</v>
      </c>
      <c r="H470" s="53">
        <f>SUM(H468:H469)</f>
        <v>21039.9</v>
      </c>
      <c r="I470" s="53">
        <f>SUM(I468:I469)</f>
        <v>0</v>
      </c>
      <c r="J470" s="53">
        <f>SUM(J468:J469)</f>
        <v>41859.42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1540113.55</v>
      </c>
      <c r="G472" s="18">
        <v>9394.3700000000008</v>
      </c>
      <c r="H472" s="18">
        <v>21039.9</v>
      </c>
      <c r="I472" s="18">
        <v>0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1540113.55</v>
      </c>
      <c r="G474" s="53">
        <f>SUM(G472:G473)</f>
        <v>9394.3700000000008</v>
      </c>
      <c r="H474" s="53">
        <f>SUM(H472:H473)</f>
        <v>21039.9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473790.26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45367.99+30228.21+2858.21</f>
        <v>78454.41</v>
      </c>
      <c r="G521" s="18">
        <f>2003.04+104.78+32.29+67.65+5767.69+3360.03+276.88+218.63+10.56</f>
        <v>11841.549999999997</v>
      </c>
      <c r="H521" s="18">
        <f>1383.2+85105+20385.98</f>
        <v>106874.18</v>
      </c>
      <c r="I521" s="18">
        <v>28</v>
      </c>
      <c r="J521" s="18">
        <f>1066+1066</f>
        <v>2132</v>
      </c>
      <c r="K521" s="18"/>
      <c r="L521" s="88">
        <f>SUM(F521:K521)</f>
        <v>199330.14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f>53720.1+1357.67</f>
        <v>55077.77</v>
      </c>
      <c r="I522" s="18"/>
      <c r="J522" s="18"/>
      <c r="K522" s="18"/>
      <c r="L522" s="88">
        <f>SUM(F522:K522)</f>
        <v>55077.77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88353</v>
      </c>
      <c r="I523" s="18"/>
      <c r="J523" s="18"/>
      <c r="K523" s="18"/>
      <c r="L523" s="88">
        <f>SUM(F523:K523)</f>
        <v>88353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78454.41</v>
      </c>
      <c r="G524" s="108">
        <f t="shared" ref="G524:L524" si="36">SUM(G521:G523)</f>
        <v>11841.549999999997</v>
      </c>
      <c r="H524" s="108">
        <f t="shared" si="36"/>
        <v>250304.94999999998</v>
      </c>
      <c r="I524" s="108">
        <f t="shared" si="36"/>
        <v>28</v>
      </c>
      <c r="J524" s="108">
        <f t="shared" si="36"/>
        <v>2132</v>
      </c>
      <c r="K524" s="108">
        <f t="shared" si="36"/>
        <v>0</v>
      </c>
      <c r="L524" s="89">
        <f t="shared" si="36"/>
        <v>342760.91000000003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0</v>
      </c>
      <c r="G526" s="18"/>
      <c r="H526" s="18">
        <f>23766.01+650.51+8530.16+150.34+6690.14</f>
        <v>39787.159999999989</v>
      </c>
      <c r="I526" s="18">
        <f>39.87+164.44</f>
        <v>204.31</v>
      </c>
      <c r="J526" s="18">
        <v>344.46</v>
      </c>
      <c r="K526" s="18"/>
      <c r="L526" s="88">
        <f>SUM(F526:K526)</f>
        <v>40335.929999999986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39787.159999999989</v>
      </c>
      <c r="I529" s="89">
        <f t="shared" si="37"/>
        <v>204.31</v>
      </c>
      <c r="J529" s="89">
        <f t="shared" si="37"/>
        <v>344.46</v>
      </c>
      <c r="K529" s="89">
        <f t="shared" si="37"/>
        <v>0</v>
      </c>
      <c r="L529" s="89">
        <f t="shared" si="37"/>
        <v>40335.929999999986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4472</v>
      </c>
      <c r="I531" s="18"/>
      <c r="J531" s="18"/>
      <c r="K531" s="18">
        <f>527.34+78.45</f>
        <v>605.79000000000008</v>
      </c>
      <c r="L531" s="88">
        <f>SUM(F531:K531)</f>
        <v>5077.79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4472</v>
      </c>
      <c r="I534" s="89">
        <f t="shared" si="38"/>
        <v>0</v>
      </c>
      <c r="J534" s="89">
        <f t="shared" si="38"/>
        <v>0</v>
      </c>
      <c r="K534" s="89">
        <f t="shared" si="38"/>
        <v>605.79000000000008</v>
      </c>
      <c r="L534" s="89">
        <f t="shared" si="38"/>
        <v>5077.79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35720.25+6393.5</f>
        <v>42113.75</v>
      </c>
      <c r="I541" s="18"/>
      <c r="J541" s="18"/>
      <c r="K541" s="18"/>
      <c r="L541" s="88">
        <f>SUM(F541:K541)</f>
        <v>42113.75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42113.75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42113.75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78454.41</v>
      </c>
      <c r="G545" s="89">
        <f t="shared" ref="G545:L545" si="41">G524+G529+G534+G539+G544</f>
        <v>11841.549999999997</v>
      </c>
      <c r="H545" s="89">
        <f t="shared" si="41"/>
        <v>336677.86</v>
      </c>
      <c r="I545" s="89">
        <f t="shared" si="41"/>
        <v>232.31</v>
      </c>
      <c r="J545" s="89">
        <f t="shared" si="41"/>
        <v>2476.46</v>
      </c>
      <c r="K545" s="89">
        <f t="shared" si="41"/>
        <v>605.79000000000008</v>
      </c>
      <c r="L545" s="89">
        <f t="shared" si="41"/>
        <v>430288.38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199330.14</v>
      </c>
      <c r="G549" s="87">
        <f>L526</f>
        <v>40335.929999999986</v>
      </c>
      <c r="H549" s="87">
        <f>L531</f>
        <v>5077.79</v>
      </c>
      <c r="I549" s="87">
        <f>L536</f>
        <v>0</v>
      </c>
      <c r="J549" s="87">
        <f>L541</f>
        <v>42113.75</v>
      </c>
      <c r="K549" s="87">
        <f>SUM(F549:J549)</f>
        <v>286857.61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55077.77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55077.77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88353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88353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342760.91000000003</v>
      </c>
      <c r="G552" s="89">
        <f t="shared" si="42"/>
        <v>40335.929999999986</v>
      </c>
      <c r="H552" s="89">
        <f t="shared" si="42"/>
        <v>5077.79</v>
      </c>
      <c r="I552" s="89">
        <f t="shared" si="42"/>
        <v>0</v>
      </c>
      <c r="J552" s="89">
        <f t="shared" si="42"/>
        <v>42113.75</v>
      </c>
      <c r="K552" s="89">
        <f t="shared" si="42"/>
        <v>430288.38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53222.3</v>
      </c>
      <c r="H575" s="18">
        <v>328769.45</v>
      </c>
      <c r="I575" s="87">
        <f>SUM(F575:H575)</f>
        <v>381991.75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20385.98</v>
      </c>
      <c r="G579" s="18">
        <v>53720.1</v>
      </c>
      <c r="H579" s="18"/>
      <c r="I579" s="87">
        <f t="shared" si="47"/>
        <v>74106.080000000002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85105</v>
      </c>
      <c r="G580" s="18">
        <v>1357.67</v>
      </c>
      <c r="H580" s="18"/>
      <c r="I580" s="87">
        <f t="shared" si="47"/>
        <v>86462.67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35560</v>
      </c>
      <c r="I591" s="18">
        <v>12417.78</v>
      </c>
      <c r="J591" s="18">
        <v>19397.599999999999</v>
      </c>
      <c r="K591" s="104">
        <f t="shared" ref="K591:K597" si="48">SUM(H591:J591)</f>
        <v>67375.38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35720.25</f>
        <v>35720.25</v>
      </c>
      <c r="I592" s="18"/>
      <c r="J592" s="18"/>
      <c r="K592" s="104">
        <f t="shared" si="48"/>
        <v>35720.25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71280.25</v>
      </c>
      <c r="I598" s="108">
        <f>SUM(I591:I597)</f>
        <v>12417.78</v>
      </c>
      <c r="J598" s="108">
        <f>SUM(J591:J597)</f>
        <v>19397.599999999999</v>
      </c>
      <c r="K598" s="108">
        <f>SUM(K591:K597)</f>
        <v>103095.63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915.45+2132+1000+344.46+36.97</f>
        <v>4428.88</v>
      </c>
      <c r="I604" s="18"/>
      <c r="J604" s="18"/>
      <c r="K604" s="104">
        <f>SUM(H604:J604)</f>
        <v>4428.88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4428.88</v>
      </c>
      <c r="I605" s="108">
        <f>SUM(I602:I604)</f>
        <v>0</v>
      </c>
      <c r="J605" s="108">
        <f>SUM(J602:J604)</f>
        <v>0</v>
      </c>
      <c r="K605" s="108">
        <f>SUM(K602:K604)</f>
        <v>4428.88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881.78</v>
      </c>
      <c r="G611" s="18">
        <f>67.46+63.88+3.27</f>
        <v>134.61000000000001</v>
      </c>
      <c r="H611" s="18"/>
      <c r="I611" s="18"/>
      <c r="J611" s="18"/>
      <c r="K611" s="18"/>
      <c r="L611" s="88">
        <f>SUM(F611:K611)</f>
        <v>1016.39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881.78</v>
      </c>
      <c r="G614" s="108">
        <f t="shared" si="49"/>
        <v>134.61000000000001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1016.39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7464.5800000000017</v>
      </c>
      <c r="H617" s="109">
        <f>SUM(F52)</f>
        <v>7464.58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1332.74</v>
      </c>
      <c r="H619" s="109">
        <f>SUM(H52)</f>
        <v>1332.74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473790.26</v>
      </c>
      <c r="H621" s="109">
        <f>SUM(J52)</f>
        <v>473790.26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473790.26</v>
      </c>
      <c r="H626" s="109">
        <f>J476</f>
        <v>473790.26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1411547.3</v>
      </c>
      <c r="H627" s="104">
        <f>SUM(F468)</f>
        <v>1411547.3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9394.3700000000008</v>
      </c>
      <c r="H628" s="104">
        <f>SUM(G468)</f>
        <v>9394.3700000000008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21039.9</v>
      </c>
      <c r="H629" s="104">
        <f>SUM(H468)</f>
        <v>21039.9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41859.42</v>
      </c>
      <c r="H631" s="104">
        <f>SUM(J468)</f>
        <v>41859.42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1540113.5500000003</v>
      </c>
      <c r="H632" s="104">
        <f>SUM(F472)</f>
        <v>1540113.55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21039.9</v>
      </c>
      <c r="H633" s="104">
        <f>SUM(H472)</f>
        <v>21039.9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182.22</v>
      </c>
      <c r="H634" s="104">
        <f>I369</f>
        <v>182.22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9394.369999999999</v>
      </c>
      <c r="H635" s="104">
        <f>SUM(G472)</f>
        <v>9394.3700000000008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41859.42</v>
      </c>
      <c r="H637" s="164">
        <f>SUM(J468)</f>
        <v>41859.42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152332.59</v>
      </c>
      <c r="H639" s="104">
        <f>SUM(F461)</f>
        <v>152332.59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321457.67000000004</v>
      </c>
      <c r="H640" s="104">
        <f>SUM(G461)</f>
        <v>321457.67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473790.26</v>
      </c>
      <c r="H642" s="104">
        <f>SUM(I461)</f>
        <v>473790.26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11859.420000000002</v>
      </c>
      <c r="H644" s="104">
        <f>H408</f>
        <v>11859.42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30000</v>
      </c>
      <c r="H645" s="104">
        <f>G408</f>
        <v>30000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41859.42</v>
      </c>
      <c r="H646" s="104">
        <f>L408</f>
        <v>41859.42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103095.63</v>
      </c>
      <c r="H647" s="104">
        <f>L208+L226+L244</f>
        <v>103095.63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4428.88</v>
      </c>
      <c r="H648" s="104">
        <f>(J257+J338)-(J255+J336)</f>
        <v>4428.88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71280.25</v>
      </c>
      <c r="H649" s="104">
        <f>H598</f>
        <v>71280.25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12417.78</v>
      </c>
      <c r="H650" s="104">
        <f>I598</f>
        <v>12417.78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19397.599999999999</v>
      </c>
      <c r="H651" s="104">
        <f>J598</f>
        <v>19397.599999999999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9394.3700000000008</v>
      </c>
      <c r="H652" s="104">
        <f>K263+K345</f>
        <v>9394.3700000000008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30000</v>
      </c>
      <c r="H655" s="104">
        <f>K266+K347</f>
        <v>30000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973415.55</v>
      </c>
      <c r="G660" s="19">
        <f>(L229+L309+L359)</f>
        <v>120717.85</v>
      </c>
      <c r="H660" s="19">
        <f>(L247+L328+L360)</f>
        <v>436520.05</v>
      </c>
      <c r="I660" s="19">
        <f>SUM(F660:H660)</f>
        <v>1530653.4500000002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77673.75</v>
      </c>
      <c r="G662" s="19">
        <f>(L226+L306)-(J226+J306)</f>
        <v>12417.78</v>
      </c>
      <c r="H662" s="19">
        <f>(L244+L325)-(J244+J325)</f>
        <v>19397.599999999999</v>
      </c>
      <c r="I662" s="19">
        <f>SUM(F662:H662)</f>
        <v>109489.13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110936.25</v>
      </c>
      <c r="G663" s="199">
        <f>SUM(G575:G587)+SUM(I602:I604)+L612</f>
        <v>108300.06999999999</v>
      </c>
      <c r="H663" s="199">
        <f>SUM(H575:H587)+SUM(J602:J604)+L613</f>
        <v>328769.45</v>
      </c>
      <c r="I663" s="19">
        <f>SUM(F663:H663)</f>
        <v>548005.77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784805.55</v>
      </c>
      <c r="G664" s="19">
        <f>G660-SUM(G661:G663)</f>
        <v>0</v>
      </c>
      <c r="H664" s="19">
        <f>H660-SUM(H661:H663)</f>
        <v>88353</v>
      </c>
      <c r="I664" s="19">
        <f>I660-SUM(I661:I663)</f>
        <v>873158.55000000016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34.75</v>
      </c>
      <c r="G665" s="248"/>
      <c r="H665" s="248"/>
      <c r="I665" s="19">
        <f>SUM(F665:H665)</f>
        <v>34.75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22584.33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25126.86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-88353</v>
      </c>
      <c r="I669" s="19">
        <f>SUM(F669:H669)</f>
        <v>-88353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22584.33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22584.33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Marlow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226064.84</v>
      </c>
      <c r="C9" s="229">
        <f>'DOE25'!G197+'DOE25'!G215+'DOE25'!G233+'DOE25'!G276+'DOE25'!G295+'DOE25'!G314</f>
        <v>107426.07</v>
      </c>
    </row>
    <row r="10" spans="1:3" x14ac:dyDescent="0.2">
      <c r="A10" t="s">
        <v>773</v>
      </c>
      <c r="B10" s="240">
        <v>224194.84</v>
      </c>
      <c r="C10" s="240">
        <v>107426.07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1870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226064.84</v>
      </c>
      <c r="C13" s="231">
        <f>SUM(C10:C12)</f>
        <v>107426.07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78454.41</v>
      </c>
      <c r="C18" s="229">
        <f>'DOE25'!G198+'DOE25'!G216+'DOE25'!G234+'DOE25'!G277+'DOE25'!G296+'DOE25'!G315</f>
        <v>11841.550000000001</v>
      </c>
    </row>
    <row r="19" spans="1:3" x14ac:dyDescent="0.2">
      <c r="A19" t="s">
        <v>773</v>
      </c>
      <c r="B19" s="240">
        <v>45367.99</v>
      </c>
      <c r="C19" s="240">
        <v>6847.64</v>
      </c>
    </row>
    <row r="20" spans="1:3" x14ac:dyDescent="0.2">
      <c r="A20" t="s">
        <v>774</v>
      </c>
      <c r="B20" s="240">
        <v>33086.42</v>
      </c>
      <c r="C20" s="240">
        <v>4993.91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78454.41</v>
      </c>
      <c r="C22" s="231">
        <f>SUM(C19:C21)</f>
        <v>11841.55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1131.78</v>
      </c>
      <c r="C36" s="235">
        <f>'DOE25'!G200+'DOE25'!G218+'DOE25'!G236+'DOE25'!G279+'DOE25'!G298+'DOE25'!G317</f>
        <v>134.61000000000001</v>
      </c>
    </row>
    <row r="37" spans="1:3" x14ac:dyDescent="0.2">
      <c r="A37" t="s">
        <v>773</v>
      </c>
      <c r="B37" s="240">
        <v>1131.78</v>
      </c>
      <c r="C37" s="240">
        <v>134.61000000000001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1131.78</v>
      </c>
      <c r="C40" s="231">
        <f>SUM(C37:C39)</f>
        <v>134.61000000000001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Marlow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1072158.6499999999</v>
      </c>
      <c r="D5" s="20">
        <f>SUM('DOE25'!L197:L200)+SUM('DOE25'!L215:L218)+SUM('DOE25'!L233:L236)-F5-G5</f>
        <v>1071243.2</v>
      </c>
      <c r="E5" s="243"/>
      <c r="F5" s="255">
        <f>SUM('DOE25'!J197:J200)+SUM('DOE25'!J215:J218)+SUM('DOE25'!J233:J236)</f>
        <v>915.45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57703.58</v>
      </c>
      <c r="D6" s="20">
        <f>'DOE25'!L202+'DOE25'!L220+'DOE25'!L238-F6-G6</f>
        <v>57703.58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25808.79</v>
      </c>
      <c r="D7" s="20">
        <f>'DOE25'!L203+'DOE25'!L221+'DOE25'!L239-F7-G7</f>
        <v>25808.79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47241</v>
      </c>
      <c r="D8" s="243"/>
      <c r="E8" s="20">
        <f>'DOE25'!L204+'DOE25'!L222+'DOE25'!L240-F8-G8-D9-D11</f>
        <v>47241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12905.39</v>
      </c>
      <c r="D9" s="244">
        <v>12905.39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7813</v>
      </c>
      <c r="D11" s="244">
        <v>7813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125859.05</v>
      </c>
      <c r="D12" s="20">
        <f>'DOE25'!L205+'DOE25'!L223+'DOE25'!L241-F12-G12</f>
        <v>125859.05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47111.09</v>
      </c>
      <c r="D14" s="20">
        <f>'DOE25'!L207+'DOE25'!L225+'DOE25'!L243-F14-G14</f>
        <v>47074.119999999995</v>
      </c>
      <c r="E14" s="243"/>
      <c r="F14" s="255">
        <f>'DOE25'!J207+'DOE25'!J225+'DOE25'!J243</f>
        <v>36.97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103095.63</v>
      </c>
      <c r="D15" s="20">
        <f>'DOE25'!L208+'DOE25'!L226+'DOE25'!L244-F15-G15</f>
        <v>103095.63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523</v>
      </c>
      <c r="D16" s="243"/>
      <c r="E16" s="20">
        <f>'DOE25'!L209+'DOE25'!L227+'DOE25'!L245-F16-G16</f>
        <v>523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500</v>
      </c>
      <c r="D19" s="20">
        <f>'DOE25'!L253-F19-G19</f>
        <v>0</v>
      </c>
      <c r="E19" s="243"/>
      <c r="F19" s="255">
        <f>'DOE25'!J253</f>
        <v>0</v>
      </c>
      <c r="G19" s="53">
        <f>'DOE25'!K253</f>
        <v>500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9394.369999999999</v>
      </c>
      <c r="D29" s="20">
        <f>'DOE25'!L358+'DOE25'!L359+'DOE25'!L360-'DOE25'!I367-F29-G29</f>
        <v>9394.369999999999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21039.9</v>
      </c>
      <c r="D31" s="20">
        <f>'DOE25'!L290+'DOE25'!L309+'DOE25'!L328+'DOE25'!L333+'DOE25'!L334+'DOE25'!L335-F31-G31</f>
        <v>16691.97</v>
      </c>
      <c r="E31" s="243"/>
      <c r="F31" s="255">
        <f>'DOE25'!J290+'DOE25'!J309+'DOE25'!J328+'DOE25'!J333+'DOE25'!J334+'DOE25'!J335</f>
        <v>3476.46</v>
      </c>
      <c r="G31" s="53">
        <f>'DOE25'!K290+'DOE25'!K309+'DOE25'!K328+'DOE25'!K333+'DOE25'!K334+'DOE25'!K335</f>
        <v>871.47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1477589.0999999999</v>
      </c>
      <c r="E33" s="246">
        <f>SUM(E5:E31)</f>
        <v>55364</v>
      </c>
      <c r="F33" s="246">
        <f>SUM(F5:F31)</f>
        <v>4428.88</v>
      </c>
      <c r="G33" s="246">
        <f>SUM(G5:G31)</f>
        <v>1371.47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55364</v>
      </c>
      <c r="E35" s="249"/>
    </row>
    <row r="36" spans="2:8" ht="12" thickTop="1" x14ac:dyDescent="0.2">
      <c r="B36" t="s">
        <v>809</v>
      </c>
      <c r="D36" s="20">
        <f>D33</f>
        <v>1477589.0999999999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-41003.43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473790.26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1244.8900000000001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47223.12</v>
      </c>
      <c r="D12" s="95">
        <f>'DOE25'!G13</f>
        <v>0</v>
      </c>
      <c r="E12" s="95">
        <f>'DOE25'!H13</f>
        <v>1332.74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7464.5800000000017</v>
      </c>
      <c r="D18" s="41">
        <f>SUM(D8:D17)</f>
        <v>0</v>
      </c>
      <c r="E18" s="41">
        <f>SUM(E8:E17)</f>
        <v>1332.74</v>
      </c>
      <c r="F18" s="41">
        <f>SUM(F8:F17)</f>
        <v>0</v>
      </c>
      <c r="G18" s="41">
        <f>SUM(G8:G17)</f>
        <v>473790.26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1244.8900000000001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663.88</v>
      </c>
      <c r="D22" s="95">
        <f>'DOE25'!G23</f>
        <v>0</v>
      </c>
      <c r="E22" s="95">
        <f>'DOE25'!H23</f>
        <v>87.85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5940.14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860.56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7464.58</v>
      </c>
      <c r="D31" s="41">
        <f>SUM(D21:D30)</f>
        <v>0</v>
      </c>
      <c r="E31" s="41">
        <f>SUM(E21:E30)</f>
        <v>1332.74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473790.26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473790.26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7464.58</v>
      </c>
      <c r="D51" s="41">
        <f>D50+D31</f>
        <v>0</v>
      </c>
      <c r="E51" s="41">
        <f>E50+E31</f>
        <v>1332.74</v>
      </c>
      <c r="F51" s="41">
        <f>F50+F31</f>
        <v>0</v>
      </c>
      <c r="G51" s="41">
        <f>G50+G31</f>
        <v>473790.26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701879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4900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124.44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11859.420000000002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5493.68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10518.119999999999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11859.420000000002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712397.12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11859.420000000002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495805.38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141825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637630.38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637630.38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17392.93</v>
      </c>
      <c r="D88" s="95">
        <f>SUM('DOE25'!G153:G161)</f>
        <v>0</v>
      </c>
      <c r="E88" s="95">
        <f>SUM('DOE25'!H153:H161)</f>
        <v>21039.9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17392.93</v>
      </c>
      <c r="D91" s="131">
        <f>SUM(D85:D90)</f>
        <v>0</v>
      </c>
      <c r="E91" s="131">
        <f>SUM(E85:E90)</f>
        <v>21039.9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9394.3700000000008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44126.87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44126.87</v>
      </c>
      <c r="D103" s="86">
        <f>SUM(D93:D102)</f>
        <v>9394.3700000000008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759</v>
      </c>
      <c r="C104" s="86">
        <f>C63+C81+C91+C103</f>
        <v>1411547.3</v>
      </c>
      <c r="D104" s="86">
        <f>D63+D81+D91+D103</f>
        <v>9394.3700000000008</v>
      </c>
      <c r="E104" s="86">
        <f>E63+E81+E91+E103</f>
        <v>21039.9</v>
      </c>
      <c r="F104" s="86">
        <f>F63+F81+F91+F103</f>
        <v>0</v>
      </c>
      <c r="G104" s="86">
        <f>G63+G81+G103</f>
        <v>41859.42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733600.75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337541.51</v>
      </c>
      <c r="D110" s="24" t="s">
        <v>286</v>
      </c>
      <c r="E110" s="95">
        <f>('DOE25'!L277)+('DOE25'!L296)+('DOE25'!L315)</f>
        <v>5219.3999999999996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1016.39</v>
      </c>
      <c r="D112" s="24" t="s">
        <v>286</v>
      </c>
      <c r="E112" s="95">
        <f>+('DOE25'!L279)+('DOE25'!L298)+('DOE25'!L317)</f>
        <v>1250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500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1072658.6499999999</v>
      </c>
      <c r="D115" s="86">
        <f>SUM(D109:D114)</f>
        <v>0</v>
      </c>
      <c r="E115" s="86">
        <f>SUM(E109:E114)</f>
        <v>6469.4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57703.58</v>
      </c>
      <c r="D118" s="24" t="s">
        <v>286</v>
      </c>
      <c r="E118" s="95">
        <f>+('DOE25'!L281)+('DOE25'!L300)+('DOE25'!L319)</f>
        <v>508.9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25808.79</v>
      </c>
      <c r="D119" s="24" t="s">
        <v>286</v>
      </c>
      <c r="E119" s="95">
        <f>+('DOE25'!L282)+('DOE25'!L301)+('DOE25'!L320)</f>
        <v>6796.63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67959.39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125859.05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871.47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47111.09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103095.63</v>
      </c>
      <c r="D124" s="24" t="s">
        <v>286</v>
      </c>
      <c r="E124" s="95">
        <f>+('DOE25'!L287)+('DOE25'!L306)+('DOE25'!L325)</f>
        <v>6393.5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523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9394.369999999999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428060.53</v>
      </c>
      <c r="D128" s="86">
        <f>SUM(D118:D127)</f>
        <v>9394.369999999999</v>
      </c>
      <c r="E128" s="86">
        <f>SUM(E118:E127)</f>
        <v>14570.5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9394.3700000000008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28719.88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13139.54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-11859.419999999998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39394.370000000003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1540113.55</v>
      </c>
      <c r="D145" s="86">
        <f>(D115+D128+D144)</f>
        <v>9394.369999999999</v>
      </c>
      <c r="E145" s="86">
        <f>(E115+E128+E144)</f>
        <v>21039.9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Marlow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22584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22584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733601</v>
      </c>
      <c r="D10" s="182">
        <f>ROUND((C10/$C$28)*100,1)</f>
        <v>47.9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342761</v>
      </c>
      <c r="D11" s="182">
        <f>ROUND((C11/$C$28)*100,1)</f>
        <v>22.4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2266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58212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32605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68482</v>
      </c>
      <c r="D17" s="182">
        <f t="shared" si="0"/>
        <v>4.5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125859</v>
      </c>
      <c r="D18" s="182">
        <f t="shared" si="0"/>
        <v>8.1999999999999993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871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47111</v>
      </c>
      <c r="D20" s="182">
        <f t="shared" si="0"/>
        <v>3.1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109489</v>
      </c>
      <c r="D21" s="182">
        <f t="shared" si="0"/>
        <v>7.2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500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9394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1531151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1531151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701879</v>
      </c>
      <c r="D35" s="182">
        <f t="shared" ref="D35:D40" si="1">ROUND((C35/$C$41)*100,1)</f>
        <v>50.1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22377.540000000037</v>
      </c>
      <c r="D36" s="182">
        <f t="shared" si="1"/>
        <v>1.6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637630</v>
      </c>
      <c r="D37" s="182">
        <f t="shared" si="1"/>
        <v>45.5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38433</v>
      </c>
      <c r="D39" s="182">
        <f t="shared" si="1"/>
        <v>2.7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1400319.54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Marlow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2018-08-28T12:11:50Z</dcterms:modified>
</cp:coreProperties>
</file>