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17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159" i="1" l="1"/>
  <c r="H14" i="1"/>
  <c r="H155" i="1" l="1"/>
  <c r="F465" i="1" l="1"/>
  <c r="F12" i="1" l="1"/>
  <c r="F14" i="1"/>
  <c r="F472" i="1" l="1"/>
  <c r="F468" i="1"/>
  <c r="G48" i="1"/>
  <c r="C20" i="12" l="1"/>
  <c r="C19" i="12"/>
  <c r="C21" i="12"/>
  <c r="B12" i="12"/>
  <c r="J528" i="1"/>
  <c r="J527" i="1"/>
  <c r="J526" i="1"/>
  <c r="J238" i="1"/>
  <c r="F233" i="1"/>
  <c r="J233" i="1"/>
  <c r="J604" i="1"/>
  <c r="I604" i="1"/>
  <c r="H604" i="1"/>
  <c r="G468" i="1" l="1"/>
  <c r="G97" i="1"/>
  <c r="K344" i="1" l="1"/>
  <c r="H24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L251" i="1"/>
  <c r="F18" i="13"/>
  <c r="G18" i="13"/>
  <c r="L252" i="1"/>
  <c r="C114" i="2" s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E121" i="2" s="1"/>
  <c r="L323" i="1"/>
  <c r="L324" i="1"/>
  <c r="L325" i="1"/>
  <c r="L326" i="1"/>
  <c r="E125" i="2" s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H112" i="1" s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H468" i="1" s="1"/>
  <c r="H629" i="1" s="1"/>
  <c r="I147" i="1"/>
  <c r="I162" i="1"/>
  <c r="C11" i="10"/>
  <c r="C16" i="10"/>
  <c r="L250" i="1"/>
  <c r="L332" i="1"/>
  <c r="E113" i="2" s="1"/>
  <c r="L254" i="1"/>
  <c r="C124" i="2" s="1"/>
  <c r="L268" i="1"/>
  <c r="L269" i="1"/>
  <c r="L349" i="1"/>
  <c r="L350" i="1"/>
  <c r="I665" i="1"/>
  <c r="I670" i="1"/>
  <c r="G662" i="1"/>
  <c r="H662" i="1"/>
  <c r="I669" i="1"/>
  <c r="C42" i="10"/>
  <c r="C32" i="10"/>
  <c r="L374" i="1"/>
  <c r="L375" i="1"/>
  <c r="L376" i="1"/>
  <c r="L377" i="1"/>
  <c r="F130" i="2" s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C113" i="2"/>
  <c r="D115" i="2"/>
  <c r="F115" i="2"/>
  <c r="G115" i="2"/>
  <c r="C119" i="2"/>
  <c r="E119" i="2"/>
  <c r="E120" i="2"/>
  <c r="E123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H338" i="1" s="1"/>
  <c r="H352" i="1" s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G408" i="1" s="1"/>
  <c r="H645" i="1" s="1"/>
  <c r="H407" i="1"/>
  <c r="I407" i="1"/>
  <c r="F408" i="1"/>
  <c r="H643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G641" i="1" s="1"/>
  <c r="F452" i="1"/>
  <c r="F461" i="1" s="1"/>
  <c r="H639" i="1" s="1"/>
  <c r="G452" i="1"/>
  <c r="H452" i="1"/>
  <c r="F460" i="1"/>
  <c r="G460" i="1"/>
  <c r="G461" i="1" s="1"/>
  <c r="H640" i="1" s="1"/>
  <c r="J640" i="1" s="1"/>
  <c r="H460" i="1"/>
  <c r="H461" i="1" s="1"/>
  <c r="H641" i="1" s="1"/>
  <c r="F470" i="1"/>
  <c r="G470" i="1"/>
  <c r="I470" i="1"/>
  <c r="I476" i="1" s="1"/>
  <c r="H625" i="1" s="1"/>
  <c r="J470" i="1"/>
  <c r="F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H627" i="1"/>
  <c r="H628" i="1"/>
  <c r="H630" i="1"/>
  <c r="H631" i="1"/>
  <c r="H632" i="1"/>
  <c r="H633" i="1"/>
  <c r="H636" i="1"/>
  <c r="H637" i="1"/>
  <c r="H638" i="1"/>
  <c r="G640" i="1"/>
  <c r="G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A40" i="12"/>
  <c r="D50" i="2"/>
  <c r="F18" i="2"/>
  <c r="G62" i="2"/>
  <c r="I169" i="1"/>
  <c r="J476" i="1"/>
  <c r="H626" i="1" s="1"/>
  <c r="F476" i="1"/>
  <c r="H622" i="1" s="1"/>
  <c r="J622" i="1" s="1"/>
  <c r="J140" i="1"/>
  <c r="G22" i="2"/>
  <c r="H140" i="1"/>
  <c r="L393" i="1"/>
  <c r="C138" i="2" s="1"/>
  <c r="L570" i="1"/>
  <c r="G36" i="2"/>
  <c r="J552" i="1" l="1"/>
  <c r="K550" i="1"/>
  <c r="H470" i="1"/>
  <c r="H476" i="1" s="1"/>
  <c r="H624" i="1" s="1"/>
  <c r="A13" i="12"/>
  <c r="G552" i="1"/>
  <c r="L529" i="1"/>
  <c r="K545" i="1"/>
  <c r="G545" i="1"/>
  <c r="L524" i="1"/>
  <c r="J545" i="1"/>
  <c r="H552" i="1"/>
  <c r="L534" i="1"/>
  <c r="J571" i="1"/>
  <c r="K571" i="1"/>
  <c r="F571" i="1"/>
  <c r="L560" i="1"/>
  <c r="L571" i="1" s="1"/>
  <c r="H545" i="1"/>
  <c r="K551" i="1"/>
  <c r="I545" i="1"/>
  <c r="L544" i="1"/>
  <c r="K549" i="1"/>
  <c r="K598" i="1"/>
  <c r="G647" i="1" s="1"/>
  <c r="L614" i="1"/>
  <c r="K605" i="1"/>
  <c r="G648" i="1" s="1"/>
  <c r="G164" i="2"/>
  <c r="K503" i="1"/>
  <c r="G161" i="2"/>
  <c r="G156" i="2"/>
  <c r="C118" i="2"/>
  <c r="C122" i="2"/>
  <c r="C17" i="10"/>
  <c r="I257" i="1"/>
  <c r="I271" i="1" s="1"/>
  <c r="L247" i="1"/>
  <c r="C120" i="2"/>
  <c r="C121" i="2"/>
  <c r="L229" i="1"/>
  <c r="C20" i="10"/>
  <c r="J257" i="1"/>
  <c r="J271" i="1" s="1"/>
  <c r="C110" i="2"/>
  <c r="C123" i="2"/>
  <c r="D14" i="13"/>
  <c r="C14" i="13" s="1"/>
  <c r="E13" i="13"/>
  <c r="C13" i="13" s="1"/>
  <c r="D12" i="13"/>
  <c r="C12" i="13" s="1"/>
  <c r="E8" i="13"/>
  <c r="C8" i="13" s="1"/>
  <c r="D6" i="13"/>
  <c r="C6" i="13" s="1"/>
  <c r="D15" i="13"/>
  <c r="C15" i="13" s="1"/>
  <c r="G649" i="1"/>
  <c r="J649" i="1" s="1"/>
  <c r="H647" i="1"/>
  <c r="C21" i="10"/>
  <c r="L211" i="1"/>
  <c r="E16" i="13"/>
  <c r="C16" i="13" s="1"/>
  <c r="H257" i="1"/>
  <c r="H271" i="1" s="1"/>
  <c r="C13" i="10"/>
  <c r="C111" i="2"/>
  <c r="C12" i="10"/>
  <c r="D5" i="13"/>
  <c r="C5" i="13" s="1"/>
  <c r="F257" i="1"/>
  <c r="F271" i="1" s="1"/>
  <c r="C26" i="10"/>
  <c r="H25" i="13"/>
  <c r="C25" i="13" s="1"/>
  <c r="C132" i="2"/>
  <c r="K257" i="1"/>
  <c r="K271" i="1" s="1"/>
  <c r="D17" i="13"/>
  <c r="C17" i="13" s="1"/>
  <c r="G257" i="1"/>
  <c r="G271" i="1" s="1"/>
  <c r="D18" i="13"/>
  <c r="C18" i="13" s="1"/>
  <c r="L256" i="1"/>
  <c r="F192" i="1"/>
  <c r="C91" i="2"/>
  <c r="F112" i="1"/>
  <c r="C35" i="10"/>
  <c r="C56" i="2"/>
  <c r="J617" i="1"/>
  <c r="C62" i="2"/>
  <c r="C63" i="2" s="1"/>
  <c r="H33" i="13"/>
  <c r="D81" i="2"/>
  <c r="C70" i="2"/>
  <c r="D31" i="2"/>
  <c r="E31" i="2"/>
  <c r="C18" i="2"/>
  <c r="L382" i="1"/>
  <c r="G636" i="1" s="1"/>
  <c r="J634" i="1"/>
  <c r="H661" i="1"/>
  <c r="G661" i="1"/>
  <c r="L362" i="1"/>
  <c r="G472" i="1" s="1"/>
  <c r="D29" i="13"/>
  <c r="C29" i="13" s="1"/>
  <c r="D127" i="2"/>
  <c r="D128" i="2" s="1"/>
  <c r="D145" i="2" s="1"/>
  <c r="F661" i="1"/>
  <c r="I661" i="1" s="1"/>
  <c r="D91" i="2"/>
  <c r="D62" i="2"/>
  <c r="D63" i="2" s="1"/>
  <c r="D18" i="2"/>
  <c r="J636" i="1"/>
  <c r="E103" i="2"/>
  <c r="E78" i="2"/>
  <c r="E81" i="2" s="1"/>
  <c r="G81" i="2"/>
  <c r="E57" i="2"/>
  <c r="E62" i="2" s="1"/>
  <c r="E63" i="2" s="1"/>
  <c r="J112" i="1"/>
  <c r="G625" i="1"/>
  <c r="J625" i="1" s="1"/>
  <c r="J641" i="1"/>
  <c r="I452" i="1"/>
  <c r="I446" i="1"/>
  <c r="G642" i="1" s="1"/>
  <c r="L433" i="1"/>
  <c r="L434" i="1" s="1"/>
  <c r="G638" i="1" s="1"/>
  <c r="J638" i="1" s="1"/>
  <c r="L427" i="1"/>
  <c r="L419" i="1"/>
  <c r="L401" i="1"/>
  <c r="C139" i="2" s="1"/>
  <c r="I408" i="1"/>
  <c r="H408" i="1"/>
  <c r="H644" i="1" s="1"/>
  <c r="J643" i="1"/>
  <c r="C29" i="10"/>
  <c r="F22" i="13"/>
  <c r="C22" i="13" s="1"/>
  <c r="E142" i="2"/>
  <c r="E144" i="2" s="1"/>
  <c r="K352" i="1"/>
  <c r="L351" i="1"/>
  <c r="C18" i="10"/>
  <c r="E124" i="2"/>
  <c r="C19" i="10"/>
  <c r="J338" i="1"/>
  <c r="J352" i="1" s="1"/>
  <c r="L328" i="1"/>
  <c r="E112" i="2"/>
  <c r="F338" i="1"/>
  <c r="F352" i="1" s="1"/>
  <c r="I662" i="1"/>
  <c r="C15" i="10"/>
  <c r="L309" i="1"/>
  <c r="G338" i="1"/>
  <c r="G352" i="1" s="1"/>
  <c r="C10" i="10"/>
  <c r="E118" i="2"/>
  <c r="E122" i="2"/>
  <c r="L290" i="1"/>
  <c r="E109" i="2"/>
  <c r="J639" i="1"/>
  <c r="I460" i="1"/>
  <c r="I461" i="1" s="1"/>
  <c r="H642" i="1" s="1"/>
  <c r="J642" i="1" s="1"/>
  <c r="J644" i="1"/>
  <c r="J645" i="1"/>
  <c r="G624" i="1"/>
  <c r="K500" i="1"/>
  <c r="C78" i="2"/>
  <c r="G112" i="1"/>
  <c r="C36" i="10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J619" i="1"/>
  <c r="D103" i="2"/>
  <c r="I140" i="1"/>
  <c r="A22" i="12"/>
  <c r="H648" i="1"/>
  <c r="J648" i="1" s="1"/>
  <c r="J652" i="1"/>
  <c r="G571" i="1"/>
  <c r="I434" i="1"/>
  <c r="G434" i="1"/>
  <c r="I663" i="1"/>
  <c r="C27" i="10"/>
  <c r="J624" i="1" l="1"/>
  <c r="L545" i="1"/>
  <c r="K552" i="1"/>
  <c r="J647" i="1"/>
  <c r="H660" i="1"/>
  <c r="H664" i="1" s="1"/>
  <c r="H667" i="1" s="1"/>
  <c r="C115" i="2"/>
  <c r="C128" i="2"/>
  <c r="G660" i="1"/>
  <c r="G664" i="1" s="1"/>
  <c r="G672" i="1" s="1"/>
  <c r="C5" i="10" s="1"/>
  <c r="E33" i="13"/>
  <c r="D35" i="13" s="1"/>
  <c r="L257" i="1"/>
  <c r="L271" i="1" s="1"/>
  <c r="G632" i="1" s="1"/>
  <c r="J632" i="1" s="1"/>
  <c r="F660" i="1"/>
  <c r="F664" i="1" s="1"/>
  <c r="F672" i="1" s="1"/>
  <c r="C4" i="10" s="1"/>
  <c r="C81" i="2"/>
  <c r="C104" i="2" s="1"/>
  <c r="D104" i="2"/>
  <c r="E115" i="2"/>
  <c r="G635" i="1"/>
  <c r="H635" i="1"/>
  <c r="J635" i="1" s="1"/>
  <c r="G474" i="1"/>
  <c r="G476" i="1" s="1"/>
  <c r="H623" i="1" s="1"/>
  <c r="J623" i="1" s="1"/>
  <c r="I193" i="1"/>
  <c r="G630" i="1" s="1"/>
  <c r="J630" i="1" s="1"/>
  <c r="F104" i="2"/>
  <c r="G104" i="2"/>
  <c r="E104" i="2"/>
  <c r="G51" i="2"/>
  <c r="L408" i="1"/>
  <c r="G637" i="1" s="1"/>
  <c r="J637" i="1" s="1"/>
  <c r="E128" i="2"/>
  <c r="E145" i="2" s="1"/>
  <c r="C28" i="10"/>
  <c r="D19" i="10" s="1"/>
  <c r="L338" i="1"/>
  <c r="L352" i="1" s="1"/>
  <c r="G633" i="1" s="1"/>
  <c r="J633" i="1" s="1"/>
  <c r="H646" i="1"/>
  <c r="J646" i="1" s="1"/>
  <c r="D31" i="13"/>
  <c r="C31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C145" i="2"/>
  <c r="G667" i="1"/>
  <c r="I660" i="1"/>
  <c r="I664" i="1" s="1"/>
  <c r="I672" i="1" s="1"/>
  <c r="C7" i="10" s="1"/>
  <c r="F667" i="1"/>
  <c r="D27" i="10"/>
  <c r="D26" i="10"/>
  <c r="D25" i="10"/>
  <c r="D23" i="10"/>
  <c r="D10" i="10"/>
  <c r="D15" i="10"/>
  <c r="D12" i="10"/>
  <c r="D20" i="10"/>
  <c r="D16" i="10"/>
  <c r="D18" i="10"/>
  <c r="C30" i="10"/>
  <c r="D22" i="10"/>
  <c r="D17" i="10"/>
  <c r="D13" i="10"/>
  <c r="D11" i="10"/>
  <c r="D21" i="10"/>
  <c r="D24" i="10"/>
  <c r="D33" i="13"/>
  <c r="D36" i="13" s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<sst xmlns="http://schemas.openxmlformats.org/spreadsheetml/2006/main" count="3962" uniqueCount="918">
  <si>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</si>
  <si>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</si>
  <si>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</si>
  <si>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</si>
  <si>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</si>
  <si>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</si>
  <si>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</si>
  <si>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</si>
  <si>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</si>
  <si>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</si>
  <si>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</si>
  <si>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</si>
  <si>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</si>
  <si>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</si>
  <si>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</si>
  <si>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</si>
  <si>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</si>
  <si>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</si>
  <si>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</si>
  <si>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</si>
  <si>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</si>
  <si>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</si>
  <si>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</si>
  <si>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</si>
  <si>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</si>
  <si>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</si>
  <si>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</si>
  <si>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</si>
  <si>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</si>
  <si>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</si>
  <si>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</si>
  <si>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</si>
  <si>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</si>
  <si>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</si>
  <si>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</si>
  <si>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</si>
  <si>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</si>
  <si>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</si>
  <si>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</si>
  <si>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</si>
  <si>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</si>
  <si>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</si>
  <si>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</si>
  <si>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</si>
  <si>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</si>
  <si>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</si>
  <si>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</si>
  <si>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</si>
  <si>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</si>
  <si>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</si>
  <si>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</si>
  <si>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</si>
  <si>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</si>
  <si>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</si>
  <si>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</si>
  <si>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</si>
  <si>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</si>
  <si>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</si>
  <si>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</si>
  <si>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</si>
  <si>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</si>
  <si>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</si>
  <si>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</si>
  <si>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</si>
  <si>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</si>
  <si>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</si>
  <si>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</si>
  <si>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</si>
  <si>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</si>
  <si>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</si>
  <si>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</si>
  <si>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</si>
  <si>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</si>
  <si>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</si>
  <si>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</si>
  <si>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</si>
  <si>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</si>
  <si>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</si>
  <si>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</si>
  <si>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</si>
  <si>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</si>
  <si>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</si>
  <si>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</si>
  <si>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</si>
  <si>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</si>
  <si>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</si>
  <si>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</si>
  <si>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</si>
  <si>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</si>
  <si>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</si>
  <si>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</si>
  <si>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</si>
  <si>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</si>
  <si>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</si>
  <si>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</si>
  <si>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</si>
  <si>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</si>
  <si>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</si>
  <si>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</si>
  <si>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</si>
  <si>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</si>
  <si>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</si>
  <si>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</si>
  <si>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</si>
  <si>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</si>
  <si>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</si>
  <si>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</si>
  <si>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</si>
  <si>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</si>
  <si>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</si>
  <si>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</si>
  <si>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</si>
  <si>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</si>
  <si>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</si>
  <si>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</si>
  <si>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</si>
  <si>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</si>
  <si>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</si>
  <si>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</si>
  <si>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</si>
  <si>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</si>
  <si>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</si>
  <si>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</si>
  <si>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</si>
  <si>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</si>
  <si>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</si>
  <si>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</si>
  <si>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</si>
  <si>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</si>
  <si>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</si>
  <si>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</si>
  <si>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</si>
  <si>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</si>
  <si>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</si>
  <si>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</si>
  <si>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</si>
  <si>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</si>
  <si>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</si>
  <si>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</si>
  <si>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</si>
  <si>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</si>
  <si>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</si>
  <si>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</si>
  <si>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</si>
  <si>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</si>
  <si>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</si>
  <si>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</si>
  <si>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</si>
  <si>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</si>
  <si>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</si>
  <si>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</si>
  <si>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</si>
  <si>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</si>
  <si>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</si>
  <si>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</si>
  <si>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</si>
  <si>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</si>
  <si>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</si>
  <si>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</si>
  <si>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</si>
  <si>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</si>
  <si>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</si>
  <si>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</si>
  <si>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</si>
  <si>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</si>
  <si>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</si>
  <si>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</si>
  <si>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</si>
  <si>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</si>
  <si>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</si>
  <si>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</si>
  <si>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</si>
  <si>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</si>
  <si>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</si>
  <si>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</si>
  <si>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</si>
  <si>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</si>
  <si>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</si>
  <si>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</si>
  <si>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</si>
  <si>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</si>
  <si>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</si>
  <si>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</si>
  <si>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</si>
  <si>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</si>
  <si>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</si>
  <si>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</si>
  <si>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</si>
  <si>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</si>
  <si>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</si>
  <si>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</si>
  <si>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</si>
  <si>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</si>
  <si>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</si>
  <si>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</si>
  <si>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</si>
  <si>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</si>
  <si>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</si>
  <si>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</si>
  <si>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</si>
  <si>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</si>
  <si>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</si>
  <si>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</si>
  <si>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</si>
  <si>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</si>
  <si>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</si>
  <si>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</si>
  <si>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</si>
  <si>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</si>
  <si>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</si>
  <si>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</si>
  <si>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</si>
  <si>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</si>
  <si>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</si>
  <si>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</si>
  <si>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</si>
  <si>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</si>
  <si>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</si>
  <si>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</si>
  <si>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</si>
  <si>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</si>
  <si>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</si>
  <si>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</si>
  <si>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</si>
  <si>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</si>
  <si>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</si>
  <si>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</si>
  <si>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</si>
  <si>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</si>
  <si>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</si>
  <si>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</si>
  <si>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</si>
  <si>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</si>
  <si>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</si>
  <si>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</si>
  <si>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</si>
  <si>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</si>
  <si>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</si>
  <si>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</si>
  <si>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</si>
  <si>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</si>
  <si>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</si>
  <si>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</si>
  <si>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</si>
  <si>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</si>
  <si>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</si>
  <si>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</si>
  <si>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</si>
  <si>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</si>
  <si>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</si>
  <si>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</si>
  <si>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</si>
  <si>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</si>
  <si>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</si>
  <si>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</si>
  <si>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</si>
  <si>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</si>
  <si>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</si>
  <si>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</si>
  <si>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</si>
  <si>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</si>
  <si>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</si>
  <si>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</si>
  <si>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</si>
  <si>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</si>
  <si>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</si>
  <si>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</si>
  <si>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</si>
  <si>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</si>
  <si>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</si>
  <si>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</si>
  <si>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</si>
  <si>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</si>
  <si>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</si>
  <si>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</si>
  <si>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</si>
  <si>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</si>
  <si>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</si>
  <si>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</si>
  <si>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</si>
  <si>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</si>
  <si>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</si>
  <si>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</si>
  <si>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</si>
  <si>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</si>
  <si>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</si>
  <si>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</si>
  <si>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</si>
  <si>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</si>
  <si>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</si>
  <si>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</si>
  <si>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</si>
  <si>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</si>
  <si>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</si>
  <si>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</si>
  <si>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</si>
  <si>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</si>
  <si>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</si>
  <si>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</si>
  <si>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</si>
  <si>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</si>
  <si>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</si>
  <si>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</si>
  <si>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</si>
  <si>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</si>
  <si>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</si>
  <si>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</si>
  <si>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</si>
  <si>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</si>
  <si>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</si>
  <si>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</si>
  <si>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</si>
  <si>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</si>
  <si>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</si>
  <si>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</si>
  <si>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</si>
  <si>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</si>
  <si>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</si>
  <si>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</si>
  <si>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</si>
  <si>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</si>
  <si>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</si>
  <si>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</si>
  <si>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</si>
  <si>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</si>
  <si>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</si>
  <si>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</si>
  <si>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</si>
  <si>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</si>
  <si>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</si>
  <si>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</si>
  <si>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</si>
  <si>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</si>
  <si>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</si>
  <si>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</si>
  <si>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</si>
  <si>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</si>
  <si>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</si>
  <si>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</si>
  <si>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</si>
  <si>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</si>
  <si>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</si>
  <si>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</si>
  <si>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</si>
  <si>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</si>
  <si>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</si>
  <si>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</si>
  <si>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</si>
  <si>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</si>
  <si>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</si>
  <si>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</si>
  <si>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</si>
  <si>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</si>
  <si>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</si>
  <si>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</si>
  <si>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</si>
  <si>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</si>
  <si>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</si>
  <si>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</si>
  <si>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</si>
  <si>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</si>
  <si>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</si>
  <si>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</si>
  <si>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</si>
  <si>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</si>
  <si>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</si>
  <si>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</si>
  <si>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</si>
  <si>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</si>
  <si>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</si>
  <si>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</si>
  <si>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</si>
  <si>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</si>
  <si>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</si>
  <si>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</si>
  <si>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</si>
  <si>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</si>
  <si>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</si>
  <si>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</si>
  <si>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</si>
  <si>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</si>
  <si>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</si>
  <si>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</si>
  <si>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</si>
  <si>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</si>
  <si>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</si>
  <si>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</si>
  <si>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</si>
  <si>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</si>
  <si>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</si>
  <si>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</si>
  <si>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</si>
  <si>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</si>
  <si>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</si>
  <si>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</si>
  <si>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</si>
  <si>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</si>
  <si>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</si>
  <si>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</si>
  <si>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</si>
  <si>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</si>
  <si>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</si>
  <si>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</si>
  <si>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</si>
  <si>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</si>
  <si>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</si>
  <si>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</si>
  <si>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</si>
  <si>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</si>
  <si>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</si>
  <si>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</si>
  <si>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</si>
  <si>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</si>
  <si>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</si>
  <si>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</si>
  <si>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</si>
  <si>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</si>
  <si>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</si>
  <si>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</si>
  <si>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</si>
  <si>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</si>
  <si>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</si>
  <si>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</si>
  <si>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</si>
  <si>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</si>
  <si>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</si>
  <si>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</si>
  <si>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</si>
  <si>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</si>
  <si>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</si>
  <si>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</si>
  <si>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</si>
  <si>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</si>
  <si>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</si>
  <si>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</si>
  <si>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</si>
  <si>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</si>
  <si>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</si>
  <si>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</si>
  <si>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</si>
  <si>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</si>
  <si>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</si>
  <si>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</si>
  <si>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</si>
  <si>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</si>
  <si>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</si>
  <si>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</si>
  <si>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</si>
  <si>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</si>
  <si>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</si>
  <si>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</si>
  <si>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</si>
  <si>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</si>
  <si>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</si>
  <si>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</si>
  <si>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</si>
  <si>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</si>
  <si>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</si>
  <si>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</si>
  <si>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</si>
  <si>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</si>
  <si>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</si>
  <si>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</si>
  <si>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</si>
  <si>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</si>
  <si>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</si>
  <si>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</si>
  <si>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</si>
  <si>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</si>
  <si>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</si>
  <si>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</si>
  <si>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</si>
  <si>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</si>
  <si>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</si>
  <si>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</si>
  <si>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</si>
  <si>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</si>
  <si>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</si>
  <si>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</si>
  <si>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</si>
  <si>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</si>
  <si>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</si>
  <si>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</si>
  <si>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</si>
  <si>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</si>
  <si>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</si>
  <si>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</si>
  <si>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</si>
  <si>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</si>
  <si>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</si>
  <si>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</si>
  <si>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</si>
  <si>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</si>
  <si>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</si>
  <si>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</si>
  <si>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</si>
  <si>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</si>
  <si>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</si>
  <si>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</si>
  <si>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</si>
  <si>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</si>
  <si>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</si>
  <si>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</si>
  <si>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</si>
  <si>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</si>
  <si>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</si>
  <si>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</si>
  <si>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</si>
  <si>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</si>
  <si>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</si>
  <si>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</si>
  <si>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</si>
  <si>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</si>
  <si>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</si>
  <si>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</si>
  <si>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</si>
  <si>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</si>
  <si>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</si>
  <si>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</si>
  <si>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</si>
  <si>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</si>
  <si>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</si>
  <si>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</si>
  <si>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</si>
  <si>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</si>
  <si>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</si>
  <si>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</si>
  <si>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</si>
  <si>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</si>
  <si>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</si>
  <si>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</si>
  <si>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</si>
  <si>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</si>
  <si>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</si>
  <si>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</si>
  <si>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</si>
  <si>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</si>
  <si>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</si>
  <si>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</si>
  <si>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</si>
  <si>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</si>
  <si>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</si>
  <si>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</si>
  <si>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</si>
  <si>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</si>
  <si>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</si>
  <si>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</si>
  <si>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</si>
  <si>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</si>
  <si>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</si>
  <si>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</si>
  <si>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</si>
  <si>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</si>
  <si>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</si>
  <si>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</si>
  <si>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</si>
  <si>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</si>
  <si>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</si>
  <si>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</si>
  <si>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</si>
  <si>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</si>
  <si>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</si>
  <si>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</si>
  <si>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</si>
  <si>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</si>
  <si>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</si>
  <si>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</si>
  <si>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</si>
  <si>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</si>
  <si>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</si>
  <si>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</si>
  <si>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</si>
  <si>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</si>
  <si>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</si>
  <si>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</si>
  <si>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</si>
  <si>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</si>
  <si>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</si>
  <si>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</si>
  <si>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</si>
  <si>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</si>
  <si>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</si>
  <si>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</si>
  <si>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</si>
  <si>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</si>
  <si>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</si>
  <si>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</si>
  <si>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</si>
  <si>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</si>
  <si>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</si>
  <si>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</si>
  <si>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</si>
  <si>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</si>
  <si>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</si>
  <si>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</si>
  <si>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</si>
  <si>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</si>
  <si>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</si>
  <si>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</si>
  <si>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</si>
  <si>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</si>
  <si>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</si>
  <si>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</si>
  <si>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</si>
  <si>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</si>
  <si>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</si>
  <si>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</si>
  <si>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</si>
  <si>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</si>
  <si>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</si>
  <si>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</si>
  <si>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</si>
  <si>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</si>
  <si>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</si>
  <si>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</si>
  <si>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</si>
  <si>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</si>
  <si>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</si>
  <si>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</si>
  <si>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</si>
  <si>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</si>
  <si>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</si>
  <si>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</si>
  <si>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</si>
  <si>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</si>
  <si>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</si>
  <si>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</si>
  <si>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</si>
  <si>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</si>
  <si>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</si>
  <si>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</si>
  <si>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</si>
  <si>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</si>
  <si>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</si>
  <si>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</si>
  <si>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</si>
  <si>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</si>
  <si>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</si>
  <si>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</si>
  <si>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</si>
  <si>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</si>
  <si>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</si>
  <si>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</si>
  <si>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</si>
  <si>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</si>
  <si>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</si>
  <si>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</si>
  <si>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</si>
  <si>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</si>
  <si>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</si>
  <si>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</si>
  <si>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</si>
  <si>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</si>
  <si>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</si>
  <si>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</si>
  <si>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</si>
  <si>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</si>
  <si>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</si>
  <si>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</si>
  <si>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</si>
  <si>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</si>
  <si>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</si>
  <si>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</si>
  <si>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</si>
  <si>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</si>
  <si>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</si>
  <si>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</si>
  <si>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</si>
  <si>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</si>
  <si>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</si>
  <si>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</si>
  <si>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</si>
  <si>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</si>
  <si>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</si>
  <si>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</si>
  <si>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</si>
  <si>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</si>
  <si>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</si>
  <si>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</si>
  <si>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</si>
  <si>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</si>
  <si>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</si>
  <si>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</si>
  <si>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</si>
  <si>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</si>
  <si>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</si>
  <si>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</si>
  <si>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</si>
  <si>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</si>
  <si>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</si>
  <si>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</si>
  <si>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</si>
  <si>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</si>
  <si>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</si>
  <si>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</si>
  <si>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</si>
  <si>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</si>
  <si>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</si>
  <si>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</si>
  <si>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</si>
  <si>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</si>
  <si>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</si>
  <si>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</si>
  <si>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</si>
  <si>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</si>
  <si>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</si>
  <si>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</si>
  <si>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</si>
  <si>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</si>
  <si>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</si>
  <si>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</si>
  <si>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</si>
  <si>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</si>
  <si>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</si>
  <si>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</si>
  <si>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</si>
  <si>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</si>
  <si>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</si>
  <si>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</si>
  <si>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</si>
  <si>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</si>
  <si>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</si>
  <si>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</si>
  <si>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</si>
  <si>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</si>
  <si>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</si>
  <si>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</si>
  <si>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</si>
  <si>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</si>
  <si>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</si>
  <si>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</si>
  <si>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</si>
  <si>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</si>
  <si>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</si>
  <si>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</si>
  <si>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</si>
  <si>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</si>
  <si>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</si>
  <si>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</si>
  <si>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</si>
  <si>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</si>
  <si>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</si>
  <si>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</si>
  <si>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</si>
  <si>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</si>
  <si>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</si>
  <si>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</si>
  <si>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</si>
  <si>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</si>
  <si>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</si>
  <si>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</si>
  <si>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</si>
  <si>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</si>
  <si>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</si>
  <si>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</si>
  <si>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</si>
  <si>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</si>
  <si>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</si>
  <si>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</si>
  <si>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</si>
  <si>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</si>
  <si>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</si>
  <si>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</si>
  <si>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</si>
  <si>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</si>
  <si>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</si>
  <si>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</si>
  <si>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</si>
  <si>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</si>
  <si>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</si>
  <si>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</si>
  <si>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</si>
  <si>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</si>
  <si>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</si>
  <si>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</si>
  <si>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</si>
  <si>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</si>
  <si>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</si>
  <si>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</si>
  <si>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</si>
  <si>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</si>
  <si>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</si>
  <si>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</si>
  <si>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</si>
  <si>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</si>
  <si>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</si>
  <si>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</si>
  <si>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</si>
  <si>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</si>
  <si>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</si>
  <si>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</si>
  <si>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</si>
  <si>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</si>
  <si>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</si>
  <si>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</si>
  <si>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</si>
  <si>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</si>
  <si>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</si>
  <si>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</si>
  <si>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</si>
  <si>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</si>
  <si>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</si>
  <si>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</si>
  <si>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</si>
  <si>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</si>
  <si>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</si>
  <si>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</si>
  <si>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</si>
  <si>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</si>
  <si>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</si>
  <si>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</si>
  <si>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</si>
  <si>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</si>
  <si>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</si>
  <si>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</si>
  <si>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</si>
  <si>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</si>
  <si>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</si>
  <si>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</si>
  <si>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</si>
  <si>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</si>
  <si>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</si>
  <si>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</si>
  <si>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</si>
  <si>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</si>
  <si>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</si>
  <si>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</si>
  <si>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</si>
  <si>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</si>
  <si>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</si>
  <si>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</si>
  <si>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</si>
  <si>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</si>
  <si>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</si>
  <si>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</si>
  <si>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</si>
  <si>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</si>
  <si>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</si>
  <si>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</si>
  <si>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</si>
  <si>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</si>
  <si>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</si>
  <si>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</si>
  <si>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</si>
  <si>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</si>
  <si>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</si>
  <si>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</si>
  <si>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</si>
  <si>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</si>
  <si>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</si>
  <si>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</si>
  <si>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</si>
  <si>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</si>
  <si>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</si>
  <si>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</si>
  <si>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</si>
  <si>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</si>
  <si>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</si>
  <si>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</si>
  <si>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</si>
  <si>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</si>
  <si>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</si>
  <si>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</si>
  <si>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</si>
  <si>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</si>
  <si>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</si>
  <si>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</si>
  <si>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</si>
  <si>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</si>
  <si>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</si>
  <si>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</si>
  <si>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</si>
  <si>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</si>
  <si>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</si>
  <si>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</si>
  <si>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</si>
  <si>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</si>
  <si>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</si>
  <si>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</si>
  <si>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</si>
  <si>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</si>
  <si>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</si>
  <si>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</si>
  <si>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</si>
  <si>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</si>
  <si>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</si>
  <si>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</si>
  <si>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</si>
  <si>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</si>
  <si>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</si>
  <si>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</si>
  <si>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</si>
  <si>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</si>
  <si>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</si>
  <si>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</si>
  <si>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</si>
  <si>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</si>
  <si>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</si>
  <si>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</si>
  <si>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</si>
  <si>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</si>
  <si>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</si>
  <si>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</si>
  <si>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</si>
  <si>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</si>
  <si>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</si>
  <si>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</si>
  <si>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</si>
  <si>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</si>
  <si>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</si>
  <si>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</si>
  <si>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</si>
  <si>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MASCENIC REGIONAL SCHOOL DISTRICT</t>
  </si>
  <si>
    <t>Fund 220:  Temp benefit acct carried forward from prior year in error.  Charged against the grant twice in error.  To reimburse state $878.14.</t>
  </si>
  <si>
    <t>Fund 210:  Change in Commodities $1537.88</t>
  </si>
  <si>
    <t>Fund 210:  Change in Inventory levels from prior year $439.31</t>
  </si>
  <si>
    <t>06/10</t>
  </si>
  <si>
    <t>09/26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</si>
</sst>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5" t="s">
        <v>912</v>
      </c>
      <c r="B2" s="21">
        <v>342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4" t="s">
        <v>278</v>
      </c>
      <c r="G6" s="224" t="s">
        <v>279</v>
      </c>
      <c r="H6" s="224" t="s">
        <v>280</v>
      </c>
      <c r="I6" s="224" t="s">
        <v>281</v>
      </c>
      <c r="J6" s="224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4"/>
      <c r="G7" s="225"/>
      <c r="H7" s="224" t="s">
        <v>766</v>
      </c>
      <c r="I7" s="225"/>
      <c r="J7" s="225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1334324.8700000001</v>
      </c>
      <c r="G9" s="18">
        <v>0</v>
      </c>
      <c r="H9" s="18">
        <v>0</v>
      </c>
      <c r="I9" s="18">
        <v>0</v>
      </c>
      <c r="J9" s="67">
        <f>SUM(I439)</f>
        <v>0</v>
      </c>
      <c r="K9" s="24" t="s">
        <v>286</v>
      </c>
      <c r="L9" s="24" t="s">
        <v>286</v>
      </c>
      <c r="M9" s="8"/>
      <c r="N9" s="271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612644.88</v>
      </c>
      <c r="K10" s="24" t="s">
        <v>286</v>
      </c>
      <c r="L10" s="24" t="s">
        <v>286</v>
      </c>
      <c r="M10" s="8"/>
      <c r="N10" s="271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1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1499530.09-1334324.87</f>
        <v>165205.21999999997</v>
      </c>
      <c r="G12" s="18">
        <v>0</v>
      </c>
      <c r="H12" s="18">
        <v>0</v>
      </c>
      <c r="I12" s="18">
        <v>0</v>
      </c>
      <c r="J12" s="67">
        <f>SUM(I441)</f>
        <v>0</v>
      </c>
      <c r="K12" s="24" t="s">
        <v>286</v>
      </c>
      <c r="L12" s="24" t="s">
        <v>286</v>
      </c>
      <c r="M12" s="8"/>
      <c r="N12" s="271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0</v>
      </c>
      <c r="G13" s="18">
        <v>0</v>
      </c>
      <c r="H13" s="18">
        <v>0</v>
      </c>
      <c r="I13" s="18">
        <v>0</v>
      </c>
      <c r="J13" s="67">
        <f>SUM(I442)</f>
        <v>0</v>
      </c>
      <c r="K13" s="24" t="s">
        <v>286</v>
      </c>
      <c r="L13" s="24" t="s">
        <v>286</v>
      </c>
      <c r="M13" s="8"/>
      <c r="N13" s="271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f>10699.92+4933.5</f>
        <v>15633.42</v>
      </c>
      <c r="G14" s="18">
        <v>29335.24</v>
      </c>
      <c r="H14" s="18">
        <f>135318.82+1200</f>
        <v>136518.82</v>
      </c>
      <c r="I14" s="18">
        <v>0</v>
      </c>
      <c r="J14" s="67">
        <f>SUM(I443)</f>
        <v>0</v>
      </c>
      <c r="K14" s="24" t="s">
        <v>286</v>
      </c>
      <c r="L14" s="24" t="s">
        <v>286</v>
      </c>
      <c r="M14" s="8"/>
      <c r="N14" s="271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>
        <v>0</v>
      </c>
      <c r="J15" s="24" t="s">
        <v>286</v>
      </c>
      <c r="K15" s="24" t="s">
        <v>286</v>
      </c>
      <c r="L15" s="24" t="s">
        <v>286</v>
      </c>
      <c r="M15" s="8"/>
      <c r="N15" s="271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v>23100.66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71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286</v>
      </c>
      <c r="L17" s="24" t="s">
        <v>286</v>
      </c>
      <c r="M17" s="8"/>
      <c r="N17" s="271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SUM(I445)</f>
        <v>0</v>
      </c>
      <c r="K18" s="24" t="s">
        <v>286</v>
      </c>
      <c r="L18" s="24" t="s">
        <v>286</v>
      </c>
      <c r="M18" s="8"/>
      <c r="N18" s="271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1515163.51</v>
      </c>
      <c r="G19" s="41">
        <f>SUM(G9:G18)</f>
        <v>52435.9</v>
      </c>
      <c r="H19" s="41">
        <f>SUM(H9:H18)</f>
        <v>136518.82</v>
      </c>
      <c r="I19" s="41">
        <f>SUM(I9:I18)</f>
        <v>0</v>
      </c>
      <c r="J19" s="41">
        <f>SUM(J9:J18)</f>
        <v>612644.88</v>
      </c>
      <c r="K19" s="45" t="s">
        <v>286</v>
      </c>
      <c r="L19" s="45" t="s">
        <v>286</v>
      </c>
      <c r="M19" s="8"/>
      <c r="N19" s="271"/>
    </row>
    <row r="20" spans="1:14" s="3" customFormat="1" ht="12.2" customHeight="1" x14ac:dyDescent="0.15">
      <c r="A20" s="1" t="s">
        <v>452</v>
      </c>
      <c r="C20" s="158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1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>
        <v>36657.54</v>
      </c>
      <c r="H22" s="18">
        <v>128547.68</v>
      </c>
      <c r="I22" s="18">
        <v>0</v>
      </c>
      <c r="J22" s="67">
        <f>SUM(I448)</f>
        <v>0</v>
      </c>
      <c r="K22" s="24" t="s">
        <v>286</v>
      </c>
      <c r="L22" s="24" t="s">
        <v>286</v>
      </c>
      <c r="M22" s="8"/>
      <c r="N22" s="271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286</v>
      </c>
      <c r="L23" s="24" t="s">
        <v>286</v>
      </c>
      <c r="M23" s="8"/>
      <c r="N23" s="271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33125.65</v>
      </c>
      <c r="G24" s="18">
        <v>0</v>
      </c>
      <c r="H24" s="18">
        <f>4050.38+1900</f>
        <v>5950.38</v>
      </c>
      <c r="I24" s="18">
        <v>0</v>
      </c>
      <c r="J24" s="67">
        <f>SUM(I450)</f>
        <v>0</v>
      </c>
      <c r="K24" s="24" t="s">
        <v>286</v>
      </c>
      <c r="L24" s="24" t="s">
        <v>286</v>
      </c>
      <c r="M24" s="8"/>
      <c r="N24" s="271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71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71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71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46234.82</v>
      </c>
      <c r="G28" s="18">
        <v>0</v>
      </c>
      <c r="H28" s="18">
        <v>0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71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71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11523.64</v>
      </c>
      <c r="G30" s="18">
        <v>5800.44</v>
      </c>
      <c r="H30" s="18">
        <v>0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71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286</v>
      </c>
      <c r="L31" s="24" t="s">
        <v>286</v>
      </c>
      <c r="M31" s="8"/>
      <c r="N31" s="271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90884.11</v>
      </c>
      <c r="G32" s="41">
        <f>SUM(G22:G31)</f>
        <v>42457.98</v>
      </c>
      <c r="H32" s="41">
        <f>SUM(H22:H31)</f>
        <v>134498.06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1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1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1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0</v>
      </c>
      <c r="G35" s="18">
        <v>23100.66</v>
      </c>
      <c r="H35" s="18">
        <v>0</v>
      </c>
      <c r="I35" s="18">
        <v>0</v>
      </c>
      <c r="J35" s="24" t="s">
        <v>286</v>
      </c>
      <c r="K35" s="24" t="s">
        <v>286</v>
      </c>
      <c r="L35" s="24" t="s">
        <v>286</v>
      </c>
      <c r="M35" s="8"/>
      <c r="N35" s="271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286</v>
      </c>
      <c r="K36" s="24" t="s">
        <v>286</v>
      </c>
      <c r="L36" s="24" t="s">
        <v>286</v>
      </c>
      <c r="M36" s="8"/>
      <c r="N36" s="271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286</v>
      </c>
      <c r="L37" s="24" t="s">
        <v>286</v>
      </c>
      <c r="M37" s="8"/>
      <c r="N37" s="271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1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2020.76</v>
      </c>
      <c r="I39" s="18">
        <v>0</v>
      </c>
      <c r="J39" s="13">
        <f>I458</f>
        <v>0</v>
      </c>
      <c r="K39" s="24" t="s">
        <v>286</v>
      </c>
      <c r="L39" s="24" t="s">
        <v>286</v>
      </c>
      <c r="M39" s="8"/>
      <c r="N39" s="271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0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1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0</v>
      </c>
      <c r="J41" s="24" t="s">
        <v>286</v>
      </c>
      <c r="K41" s="24" t="s">
        <v>286</v>
      </c>
      <c r="L41" s="24" t="s">
        <v>286</v>
      </c>
      <c r="M41" s="8"/>
      <c r="N41" s="271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1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286</v>
      </c>
      <c r="L43" s="24" t="s">
        <v>286</v>
      </c>
      <c r="M43" s="8"/>
      <c r="N43" s="271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76000</v>
      </c>
      <c r="G44" s="18">
        <v>0</v>
      </c>
      <c r="H44" s="18">
        <v>0</v>
      </c>
      <c r="I44" s="18">
        <v>0</v>
      </c>
      <c r="J44" s="24" t="s">
        <v>286</v>
      </c>
      <c r="K44" s="24" t="s">
        <v>286</v>
      </c>
      <c r="L44" s="24" t="s">
        <v>286</v>
      </c>
      <c r="M44" s="8"/>
      <c r="N44" s="271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286</v>
      </c>
      <c r="L45" s="24" t="s">
        <v>286</v>
      </c>
      <c r="M45" s="8"/>
      <c r="N45" s="271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241973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1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1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0</v>
      </c>
      <c r="G48" s="18">
        <f>-(5979.38+5605.48+1537.88)</f>
        <v>-13122.740000000002</v>
      </c>
      <c r="H48" s="18">
        <v>0</v>
      </c>
      <c r="I48" s="18">
        <v>0</v>
      </c>
      <c r="J48" s="13">
        <f>SUM(I459)</f>
        <v>612644.88</v>
      </c>
      <c r="K48" s="24" t="s">
        <v>286</v>
      </c>
      <c r="L48" s="24" t="s">
        <v>286</v>
      </c>
      <c r="M48" s="8"/>
      <c r="N48" s="271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46588.4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1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1059718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1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1424279.4</v>
      </c>
      <c r="G51" s="41">
        <f>SUM(G35:G50)</f>
        <v>9977.9199999999983</v>
      </c>
      <c r="H51" s="41">
        <f>SUM(H35:H50)</f>
        <v>2020.76</v>
      </c>
      <c r="I51" s="41">
        <f>SUM(I35:I50)</f>
        <v>0</v>
      </c>
      <c r="J51" s="41">
        <f>SUM(J35:J50)</f>
        <v>612644.88</v>
      </c>
      <c r="K51" s="45" t="s">
        <v>286</v>
      </c>
      <c r="L51" s="45" t="s">
        <v>286</v>
      </c>
      <c r="N51" s="269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1515163.51</v>
      </c>
      <c r="G52" s="41">
        <f>G51+G32</f>
        <v>52435.9</v>
      </c>
      <c r="H52" s="41">
        <f>H51+H32</f>
        <v>136518.82</v>
      </c>
      <c r="I52" s="41">
        <f>I51+I32</f>
        <v>0</v>
      </c>
      <c r="J52" s="41">
        <f>J51+J32</f>
        <v>612644.88</v>
      </c>
      <c r="K52" s="45" t="s">
        <v>286</v>
      </c>
      <c r="L52" s="45" t="s">
        <v>286</v>
      </c>
      <c r="M52" s="8"/>
      <c r="N52" s="271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1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1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1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1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8609800.0199999996</v>
      </c>
      <c r="G57" s="18">
        <v>0</v>
      </c>
      <c r="H57" s="18">
        <v>0</v>
      </c>
      <c r="I57" s="18">
        <v>0</v>
      </c>
      <c r="J57" s="18">
        <v>0</v>
      </c>
      <c r="K57" s="24" t="s">
        <v>286</v>
      </c>
      <c r="L57" s="24" t="s">
        <v>286</v>
      </c>
      <c r="M57" s="8"/>
      <c r="N57" s="271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0</v>
      </c>
      <c r="G58" s="18">
        <v>0</v>
      </c>
      <c r="H58" s="24" t="s">
        <v>286</v>
      </c>
      <c r="I58" s="18">
        <v>0</v>
      </c>
      <c r="J58" s="24" t="s">
        <v>286</v>
      </c>
      <c r="K58" s="24" t="s">
        <v>286</v>
      </c>
      <c r="L58" s="24" t="s">
        <v>286</v>
      </c>
      <c r="M58" s="8"/>
      <c r="N58" s="271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286</v>
      </c>
      <c r="L59" s="24" t="s">
        <v>286</v>
      </c>
      <c r="M59" s="31"/>
      <c r="N59" s="272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8609800.0199999996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2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1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1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9800</v>
      </c>
      <c r="G63" s="24" t="s">
        <v>286</v>
      </c>
      <c r="H63" s="18">
        <v>0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1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0</v>
      </c>
      <c r="G64" s="24" t="s">
        <v>286</v>
      </c>
      <c r="H64" s="18">
        <v>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1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0</v>
      </c>
      <c r="G65" s="24" t="s">
        <v>286</v>
      </c>
      <c r="H65" s="18">
        <v>0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2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>
        <v>0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1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1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0</v>
      </c>
      <c r="G68" s="24" t="s">
        <v>286</v>
      </c>
      <c r="H68" s="18">
        <v>0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1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13453.5</v>
      </c>
      <c r="G69" s="24" t="s">
        <v>286</v>
      </c>
      <c r="H69" s="18">
        <v>0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1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10759.75</v>
      </c>
      <c r="G70" s="24" t="s">
        <v>286</v>
      </c>
      <c r="H70" s="18">
        <v>0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1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1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0</v>
      </c>
      <c r="G72" s="24" t="s">
        <v>286</v>
      </c>
      <c r="H72" s="18">
        <v>0</v>
      </c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1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>
        <v>0</v>
      </c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1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0</v>
      </c>
      <c r="G74" s="24" t="s">
        <v>286</v>
      </c>
      <c r="H74" s="18">
        <v>0</v>
      </c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1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1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>
        <v>0</v>
      </c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1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0</v>
      </c>
      <c r="G77" s="24" t="s">
        <v>286</v>
      </c>
      <c r="H77" s="18">
        <v>0</v>
      </c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1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0</v>
      </c>
      <c r="G78" s="24" t="s">
        <v>286</v>
      </c>
      <c r="H78" s="18">
        <v>0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69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34013.25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1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1"/>
    </row>
    <row r="81" spans="1:14" s="3" customFormat="1" ht="12.2" customHeight="1" x14ac:dyDescent="0.2">
      <c r="A81" s="169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1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1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0</v>
      </c>
      <c r="G83" s="24" t="s">
        <v>286</v>
      </c>
      <c r="H83" s="18">
        <v>0</v>
      </c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1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>
        <v>0</v>
      </c>
      <c r="G84" s="24" t="s">
        <v>286</v>
      </c>
      <c r="H84" s="18">
        <v>0</v>
      </c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1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1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0</v>
      </c>
      <c r="G86" s="24" t="s">
        <v>286</v>
      </c>
      <c r="H86" s="18">
        <v>0</v>
      </c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1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0</v>
      </c>
      <c r="G87" s="24" t="s">
        <v>286</v>
      </c>
      <c r="H87" s="18">
        <v>0</v>
      </c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1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>
        <v>0</v>
      </c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1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1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>
        <v>0</v>
      </c>
      <c r="G90" s="24" t="s">
        <v>286</v>
      </c>
      <c r="H90" s="18">
        <v>0</v>
      </c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1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>
        <v>0</v>
      </c>
      <c r="G91" s="24" t="s">
        <v>286</v>
      </c>
      <c r="H91" s="18">
        <v>0</v>
      </c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1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>
        <v>0</v>
      </c>
      <c r="G92" s="24" t="s">
        <v>286</v>
      </c>
      <c r="H92" s="18">
        <v>0</v>
      </c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1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0</v>
      </c>
      <c r="G93" s="24" t="s">
        <v>286</v>
      </c>
      <c r="H93" s="18">
        <v>0</v>
      </c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1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1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1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9953.15</v>
      </c>
      <c r="K96" s="24" t="s">
        <v>286</v>
      </c>
      <c r="L96" s="24" t="s">
        <v>286</v>
      </c>
      <c r="M96" s="8"/>
      <c r="N96" s="271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157540.5+3612.35</f>
        <v>161152.85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1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0</v>
      </c>
      <c r="G98" s="24" t="s">
        <v>286</v>
      </c>
      <c r="H98" s="18">
        <v>0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1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0</v>
      </c>
      <c r="G99" s="18">
        <v>0</v>
      </c>
      <c r="H99" s="18">
        <v>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1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1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9076.36</v>
      </c>
      <c r="G101" s="18">
        <v>0</v>
      </c>
      <c r="H101" s="18">
        <v>0</v>
      </c>
      <c r="I101" s="18">
        <v>0</v>
      </c>
      <c r="J101" s="24" t="s">
        <v>286</v>
      </c>
      <c r="K101" s="24" t="s">
        <v>286</v>
      </c>
      <c r="L101" s="24" t="s">
        <v>286</v>
      </c>
      <c r="M101" s="8"/>
      <c r="N101" s="271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286</v>
      </c>
      <c r="L102" s="24" t="s">
        <v>286</v>
      </c>
      <c r="M102" s="8"/>
      <c r="N102" s="271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0</v>
      </c>
      <c r="G103" s="18">
        <v>0</v>
      </c>
      <c r="H103" s="18">
        <v>0</v>
      </c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1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0</v>
      </c>
      <c r="G104" s="24" t="s">
        <v>286</v>
      </c>
      <c r="H104" s="18">
        <v>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1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0</v>
      </c>
      <c r="G105" s="18">
        <v>0</v>
      </c>
      <c r="H105" s="18">
        <v>0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1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0</v>
      </c>
      <c r="G106" s="18">
        <v>0</v>
      </c>
      <c r="H106" s="18">
        <v>0</v>
      </c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1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286</v>
      </c>
      <c r="K107" s="24" t="s">
        <v>286</v>
      </c>
      <c r="L107" s="24" t="s">
        <v>286</v>
      </c>
      <c r="M107" s="8"/>
      <c r="N107" s="271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286</v>
      </c>
      <c r="K108" s="24" t="s">
        <v>286</v>
      </c>
      <c r="L108" s="24" t="s">
        <v>286</v>
      </c>
      <c r="M108" s="8"/>
      <c r="N108" s="271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60276.19</v>
      </c>
      <c r="G109" s="18">
        <v>0</v>
      </c>
      <c r="H109" s="18">
        <v>0</v>
      </c>
      <c r="I109" s="18">
        <v>0</v>
      </c>
      <c r="J109" s="24" t="s">
        <v>286</v>
      </c>
      <c r="K109" s="24" t="s">
        <v>286</v>
      </c>
      <c r="L109" s="24" t="s">
        <v>286</v>
      </c>
      <c r="M109" s="8"/>
      <c r="N109" s="271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908.88</v>
      </c>
      <c r="G110" s="18">
        <v>0</v>
      </c>
      <c r="H110" s="18">
        <v>0</v>
      </c>
      <c r="I110" s="18">
        <v>0</v>
      </c>
      <c r="J110" s="18">
        <v>0</v>
      </c>
      <c r="K110" s="24" t="s">
        <v>286</v>
      </c>
      <c r="L110" s="24" t="s">
        <v>286</v>
      </c>
      <c r="M110" s="8"/>
      <c r="N110" s="271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70261.430000000008</v>
      </c>
      <c r="G111" s="41">
        <f>SUM(G96:G110)</f>
        <v>161152.85</v>
      </c>
      <c r="H111" s="41">
        <f>SUM(H96:H110)</f>
        <v>0</v>
      </c>
      <c r="I111" s="41">
        <f>SUM(I96:I110)</f>
        <v>0</v>
      </c>
      <c r="J111" s="41">
        <f>SUM(J96:J110)</f>
        <v>9953.15</v>
      </c>
      <c r="K111" s="45" t="s">
        <v>286</v>
      </c>
      <c r="L111" s="45" t="s">
        <v>286</v>
      </c>
      <c r="N111" s="269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8714074.6999999993</v>
      </c>
      <c r="G112" s="41">
        <f>G60+G111</f>
        <v>161152.85</v>
      </c>
      <c r="H112" s="41">
        <f>H60+H79+H94+H111</f>
        <v>0</v>
      </c>
      <c r="I112" s="41">
        <f>I60+I111</f>
        <v>0</v>
      </c>
      <c r="J112" s="41">
        <f>J60+J111</f>
        <v>9953.15</v>
      </c>
      <c r="K112" s="45" t="s">
        <v>286</v>
      </c>
      <c r="L112" s="45" t="s">
        <v>286</v>
      </c>
      <c r="M112" s="8"/>
      <c r="N112" s="271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1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1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1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1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5314438.75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1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1069119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1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1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9051.0400000000009</v>
      </c>
      <c r="G120" s="18">
        <v>0</v>
      </c>
      <c r="H120" s="18">
        <v>0</v>
      </c>
      <c r="I120" s="18">
        <v>0</v>
      </c>
      <c r="J120" s="18">
        <v>0</v>
      </c>
      <c r="K120" s="24" t="s">
        <v>286</v>
      </c>
      <c r="L120" s="24" t="s">
        <v>286</v>
      </c>
      <c r="M120" s="8"/>
      <c r="N120" s="271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6392608.79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1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1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797013.02</v>
      </c>
      <c r="G123" s="24" t="s">
        <v>286</v>
      </c>
      <c r="H123" s="24" t="s">
        <v>286</v>
      </c>
      <c r="I123" s="18">
        <v>0</v>
      </c>
      <c r="J123" s="24" t="s">
        <v>286</v>
      </c>
      <c r="K123" s="24" t="s">
        <v>286</v>
      </c>
      <c r="L123" s="24" t="s">
        <v>286</v>
      </c>
      <c r="M123" s="8"/>
      <c r="N123" s="271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1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0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1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10170.1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1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56742.59</v>
      </c>
      <c r="G127" s="24" t="s">
        <v>286</v>
      </c>
      <c r="H127" s="18">
        <v>0</v>
      </c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1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4887.49</v>
      </c>
      <c r="G128" s="24" t="s">
        <v>286</v>
      </c>
      <c r="H128" s="18">
        <v>0</v>
      </c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1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>
        <v>0</v>
      </c>
      <c r="G129" s="24" t="s">
        <v>286</v>
      </c>
      <c r="H129" s="18">
        <v>0</v>
      </c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1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>
        <v>0</v>
      </c>
      <c r="G130" s="24" t="s">
        <v>286</v>
      </c>
      <c r="H130" s="18">
        <v>0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1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>
        <v>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1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5406.3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1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>
        <v>0</v>
      </c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1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>
        <v>0</v>
      </c>
      <c r="I134" s="24"/>
      <c r="J134" s="24"/>
      <c r="K134" s="24"/>
      <c r="L134" s="24"/>
      <c r="M134" s="8"/>
      <c r="N134" s="271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286</v>
      </c>
      <c r="L135" s="24" t="s">
        <v>286</v>
      </c>
      <c r="M135" s="8"/>
      <c r="N135" s="271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868813.2</v>
      </c>
      <c r="G136" s="41">
        <f>SUM(G123:G135)</f>
        <v>5406.3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1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>
        <v>0</v>
      </c>
      <c r="G137" s="18">
        <v>0</v>
      </c>
      <c r="H137" s="18">
        <v>0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1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>
        <v>0</v>
      </c>
      <c r="G138" s="24" t="s">
        <v>286</v>
      </c>
      <c r="H138" s="18">
        <v>0</v>
      </c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1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1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7261421.9900000002</v>
      </c>
      <c r="G140" s="41">
        <f>G121+SUM(G136:G137)</f>
        <v>5406.3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1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1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1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3" t="s">
        <v>766</v>
      </c>
      <c r="I143" s="16" t="s">
        <v>281</v>
      </c>
      <c r="J143" s="16" t="s">
        <v>282</v>
      </c>
      <c r="K143" s="20"/>
      <c r="L143" s="20"/>
      <c r="M143" s="8"/>
      <c r="N143" s="271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1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286</v>
      </c>
      <c r="K145" s="24" t="s">
        <v>286</v>
      </c>
      <c r="L145" s="24" t="s">
        <v>286</v>
      </c>
      <c r="M145" s="8"/>
      <c r="N145" s="271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286</v>
      </c>
      <c r="K146" s="24" t="s">
        <v>286</v>
      </c>
      <c r="L146" s="24" t="s">
        <v>286</v>
      </c>
      <c r="M146" s="8"/>
      <c r="N146" s="271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1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1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1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0</v>
      </c>
      <c r="G150" s="24" t="s">
        <v>286</v>
      </c>
      <c r="H150" s="18">
        <v>0</v>
      </c>
      <c r="I150" s="18">
        <v>0</v>
      </c>
      <c r="J150" s="24" t="s">
        <v>286</v>
      </c>
      <c r="K150" s="24" t="s">
        <v>286</v>
      </c>
      <c r="L150" s="24" t="s">
        <v>286</v>
      </c>
      <c r="M150" s="8"/>
      <c r="N150" s="271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>
        <v>0</v>
      </c>
      <c r="G151" s="24" t="s">
        <v>286</v>
      </c>
      <c r="H151" s="18">
        <v>0</v>
      </c>
      <c r="I151" s="18">
        <v>0</v>
      </c>
      <c r="J151" s="24" t="s">
        <v>286</v>
      </c>
      <c r="K151" s="24" t="s">
        <v>286</v>
      </c>
      <c r="L151" s="24" t="s">
        <v>286</v>
      </c>
      <c r="M151" s="8"/>
      <c r="N151" s="271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>
        <v>0</v>
      </c>
      <c r="G152" s="24" t="s">
        <v>286</v>
      </c>
      <c r="H152" s="18">
        <v>0</v>
      </c>
      <c r="I152" s="18">
        <v>0</v>
      </c>
      <c r="J152" s="24" t="s">
        <v>286</v>
      </c>
      <c r="K152" s="24" t="s">
        <v>286</v>
      </c>
      <c r="L152" s="24" t="s">
        <v>286</v>
      </c>
      <c r="M152" s="8"/>
      <c r="N152" s="271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1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284872.81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1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64225.06+4050.38</f>
        <v>68275.44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1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0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1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0</v>
      </c>
      <c r="G157" s="24" t="s">
        <v>286</v>
      </c>
      <c r="H157" s="18">
        <v>0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1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195796.17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1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>
        <f>292275.93+1200</f>
        <v>293475.93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1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88890.75</v>
      </c>
      <c r="G160" s="24" t="s">
        <v>286</v>
      </c>
      <c r="H160" s="18">
        <v>0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1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>
        <v>25853.37</v>
      </c>
      <c r="H161" s="18">
        <v>0</v>
      </c>
      <c r="I161" s="18">
        <v>0</v>
      </c>
      <c r="J161" s="24" t="s">
        <v>286</v>
      </c>
      <c r="K161" s="24" t="s">
        <v>286</v>
      </c>
      <c r="L161" s="24" t="s">
        <v>286</v>
      </c>
      <c r="M161" s="8"/>
      <c r="N161" s="271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88890.75</v>
      </c>
      <c r="G162" s="41">
        <f>SUM(G150:G161)</f>
        <v>221649.54</v>
      </c>
      <c r="H162" s="41">
        <f>SUM(H150:H161)</f>
        <v>646624.17999999993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1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286</v>
      </c>
      <c r="K163" s="24" t="s">
        <v>286</v>
      </c>
      <c r="L163" s="24" t="s">
        <v>286</v>
      </c>
      <c r="M163" s="8"/>
      <c r="N163" s="271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1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1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>
        <v>0</v>
      </c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1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1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0</v>
      </c>
      <c r="G168" s="18">
        <v>0</v>
      </c>
      <c r="H168" s="18">
        <v>0</v>
      </c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1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88890.75</v>
      </c>
      <c r="G169" s="41">
        <f>G147+G162+SUM(G163:G168)</f>
        <v>221649.54</v>
      </c>
      <c r="H169" s="41">
        <f>H147+H162+SUM(H163:H168)</f>
        <v>646624.17999999993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1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1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1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3" t="s">
        <v>766</v>
      </c>
      <c r="I172" s="16" t="s">
        <v>281</v>
      </c>
      <c r="J172" s="16" t="s">
        <v>282</v>
      </c>
      <c r="K172" s="20"/>
      <c r="L172" s="20"/>
      <c r="M172" s="8"/>
      <c r="N172" s="271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0</v>
      </c>
      <c r="G173" s="24" t="s">
        <v>286</v>
      </c>
      <c r="H173" s="24" t="s">
        <v>286</v>
      </c>
      <c r="I173" s="18">
        <v>0</v>
      </c>
      <c r="J173" s="24" t="s">
        <v>286</v>
      </c>
      <c r="K173" s="24" t="s">
        <v>286</v>
      </c>
      <c r="L173" s="24" t="s">
        <v>286</v>
      </c>
      <c r="M173" s="8"/>
      <c r="N173" s="271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>
        <v>704233.15</v>
      </c>
      <c r="G174" s="24" t="s">
        <v>286</v>
      </c>
      <c r="H174" s="24" t="s">
        <v>286</v>
      </c>
      <c r="I174" s="18">
        <v>0</v>
      </c>
      <c r="J174" s="24" t="s">
        <v>286</v>
      </c>
      <c r="K174" s="24" t="s">
        <v>286</v>
      </c>
      <c r="L174" s="24" t="s">
        <v>286</v>
      </c>
      <c r="M174" s="8"/>
      <c r="N174" s="271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>
        <v>0</v>
      </c>
      <c r="G175" s="24" t="s">
        <v>286</v>
      </c>
      <c r="H175" s="24" t="s">
        <v>286</v>
      </c>
      <c r="I175" s="18">
        <v>0</v>
      </c>
      <c r="J175" s="24" t="s">
        <v>286</v>
      </c>
      <c r="K175" s="24" t="s">
        <v>286</v>
      </c>
      <c r="L175" s="24" t="s">
        <v>286</v>
      </c>
      <c r="M175" s="8"/>
      <c r="N175" s="271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0</v>
      </c>
      <c r="G176" s="24" t="s">
        <v>286</v>
      </c>
      <c r="H176" s="24" t="s">
        <v>286</v>
      </c>
      <c r="I176" s="18">
        <v>0</v>
      </c>
      <c r="J176" s="24" t="s">
        <v>286</v>
      </c>
      <c r="K176" s="24" t="s">
        <v>286</v>
      </c>
      <c r="L176" s="24" t="s">
        <v>286</v>
      </c>
      <c r="M176" s="8"/>
      <c r="N176" s="271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704233.15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1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1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0</v>
      </c>
      <c r="H179" s="18">
        <v>0</v>
      </c>
      <c r="I179" s="18">
        <v>0</v>
      </c>
      <c r="J179" s="18">
        <v>85000</v>
      </c>
      <c r="K179" s="24" t="s">
        <v>286</v>
      </c>
      <c r="L179" s="24" t="s">
        <v>286</v>
      </c>
      <c r="M179" s="8"/>
      <c r="N179" s="271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>
        <v>0</v>
      </c>
      <c r="G180" s="24" t="s">
        <v>286</v>
      </c>
      <c r="H180" s="18">
        <v>0</v>
      </c>
      <c r="I180" s="18">
        <v>0</v>
      </c>
      <c r="J180" s="18">
        <v>0</v>
      </c>
      <c r="K180" s="24" t="s">
        <v>286</v>
      </c>
      <c r="L180" s="24" t="s">
        <v>286</v>
      </c>
      <c r="M180" s="8"/>
      <c r="N180" s="271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48432</v>
      </c>
      <c r="G181" s="18">
        <v>0</v>
      </c>
      <c r="H181" s="24" t="s">
        <v>286</v>
      </c>
      <c r="I181" s="18">
        <v>0</v>
      </c>
      <c r="J181" s="18">
        <v>0</v>
      </c>
      <c r="K181" s="24" t="s">
        <v>286</v>
      </c>
      <c r="L181" s="24" t="s">
        <v>286</v>
      </c>
      <c r="M181" s="8"/>
      <c r="N181" s="271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>
        <v>0</v>
      </c>
      <c r="H182" s="18">
        <v>0</v>
      </c>
      <c r="I182" s="24" t="s">
        <v>286</v>
      </c>
      <c r="J182" s="18">
        <v>0</v>
      </c>
      <c r="K182" s="24" t="s">
        <v>286</v>
      </c>
      <c r="L182" s="24" t="s">
        <v>286</v>
      </c>
      <c r="M182" s="8"/>
      <c r="N182" s="271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48432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85000</v>
      </c>
      <c r="K183" s="45" t="s">
        <v>286</v>
      </c>
      <c r="L183" s="45" t="s">
        <v>286</v>
      </c>
      <c r="M183" s="8"/>
      <c r="N183" s="271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1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286</v>
      </c>
      <c r="K185" s="24" t="s">
        <v>286</v>
      </c>
      <c r="L185" s="24" t="s">
        <v>286</v>
      </c>
      <c r="M185" s="8"/>
      <c r="N185" s="271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286</v>
      </c>
      <c r="K186" s="24" t="s">
        <v>286</v>
      </c>
      <c r="L186" s="24" t="s">
        <v>286</v>
      </c>
      <c r="M186" s="8"/>
      <c r="N186" s="271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286</v>
      </c>
      <c r="K187" s="24" t="s">
        <v>286</v>
      </c>
      <c r="L187" s="24" t="s">
        <v>286</v>
      </c>
      <c r="N187" s="269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69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286</v>
      </c>
      <c r="K189" s="24" t="s">
        <v>286</v>
      </c>
      <c r="L189" s="24" t="s">
        <v>286</v>
      </c>
      <c r="M189" s="8"/>
      <c r="N189" s="271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286</v>
      </c>
      <c r="K190" s="24" t="s">
        <v>286</v>
      </c>
      <c r="L190" s="24" t="s">
        <v>286</v>
      </c>
      <c r="M190" s="8"/>
      <c r="N190" s="271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286</v>
      </c>
      <c r="K191" s="24" t="s">
        <v>286</v>
      </c>
      <c r="L191" s="24" t="s">
        <v>286</v>
      </c>
      <c r="M191" s="8"/>
      <c r="N191" s="271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5" t="s">
        <v>428</v>
      </c>
      <c r="E192" s="51">
        <v>5000</v>
      </c>
      <c r="F192" s="41">
        <f>F177+F183+SUM(F188:F191)</f>
        <v>752665.15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85000</v>
      </c>
      <c r="K192" s="45" t="s">
        <v>286</v>
      </c>
      <c r="L192" s="45" t="s">
        <v>286</v>
      </c>
      <c r="M192" s="8"/>
      <c r="N192" s="271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6" t="s">
        <v>428</v>
      </c>
      <c r="E193" s="44"/>
      <c r="F193" s="47">
        <f>F112+F140+F169+F192</f>
        <v>16817052.59</v>
      </c>
      <c r="G193" s="47">
        <f>G112+G140+G169+G192</f>
        <v>388208.69</v>
      </c>
      <c r="H193" s="47">
        <f>H112+H140+H169+H192</f>
        <v>646624.17999999993</v>
      </c>
      <c r="I193" s="47">
        <f>I112+I140+I169+I192</f>
        <v>0</v>
      </c>
      <c r="J193" s="47">
        <f>J112+J140+J192</f>
        <v>94953.15</v>
      </c>
      <c r="K193" s="45" t="s">
        <v>286</v>
      </c>
      <c r="L193" s="45" t="s">
        <v>286</v>
      </c>
      <c r="M193" s="8"/>
      <c r="N193" s="271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6" t="s">
        <v>687</v>
      </c>
      <c r="G194" s="176" t="s">
        <v>688</v>
      </c>
      <c r="H194" s="176" t="s">
        <v>689</v>
      </c>
      <c r="I194" s="176" t="s">
        <v>690</v>
      </c>
      <c r="J194" s="176" t="s">
        <v>691</v>
      </c>
      <c r="K194" s="176" t="s">
        <v>692</v>
      </c>
      <c r="L194" s="56"/>
      <c r="M194" s="8"/>
      <c r="N194" s="271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1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1291813.1499999999</v>
      </c>
      <c r="G197" s="18">
        <v>706724.74</v>
      </c>
      <c r="H197" s="18">
        <v>21387.06</v>
      </c>
      <c r="I197" s="18">
        <v>86525.61</v>
      </c>
      <c r="J197" s="18">
        <v>6324.84</v>
      </c>
      <c r="K197" s="18">
        <v>0</v>
      </c>
      <c r="L197" s="19">
        <f>SUM(F197:K197)</f>
        <v>2112775.4</v>
      </c>
      <c r="M197" s="8"/>
      <c r="N197" s="271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285429.07</v>
      </c>
      <c r="G198" s="18">
        <v>145825.31</v>
      </c>
      <c r="H198" s="18">
        <v>0</v>
      </c>
      <c r="I198" s="18">
        <v>938.37</v>
      </c>
      <c r="J198" s="18">
        <v>0</v>
      </c>
      <c r="K198" s="18">
        <v>0</v>
      </c>
      <c r="L198" s="19">
        <f>SUM(F198:K198)</f>
        <v>432192.75</v>
      </c>
      <c r="M198" s="8"/>
      <c r="N198" s="271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1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1553</v>
      </c>
      <c r="G200" s="18">
        <v>299.64999999999998</v>
      </c>
      <c r="H200" s="18">
        <v>0</v>
      </c>
      <c r="I200" s="18">
        <v>843.34</v>
      </c>
      <c r="J200" s="18">
        <v>0</v>
      </c>
      <c r="K200" s="18">
        <v>0</v>
      </c>
      <c r="L200" s="19">
        <f>SUM(F200:K200)</f>
        <v>2695.9900000000002</v>
      </c>
      <c r="M200" s="8"/>
      <c r="N200" s="271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1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220112.52</v>
      </c>
      <c r="G202" s="18">
        <v>103199.17</v>
      </c>
      <c r="H202" s="18">
        <v>94122.11</v>
      </c>
      <c r="I202" s="18">
        <v>3113.5</v>
      </c>
      <c r="J202" s="18">
        <v>0</v>
      </c>
      <c r="K202" s="18">
        <v>0</v>
      </c>
      <c r="L202" s="19">
        <f t="shared" ref="L202:L208" si="0">SUM(F202:K202)</f>
        <v>420547.3</v>
      </c>
      <c r="M202" s="8"/>
      <c r="N202" s="271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24668.5</v>
      </c>
      <c r="G203" s="18">
        <v>24720.81</v>
      </c>
      <c r="H203" s="18">
        <v>0</v>
      </c>
      <c r="I203" s="18">
        <v>10545.25</v>
      </c>
      <c r="J203" s="18">
        <v>0</v>
      </c>
      <c r="K203" s="18">
        <v>0</v>
      </c>
      <c r="L203" s="19">
        <f t="shared" si="0"/>
        <v>59934.559999999998</v>
      </c>
      <c r="M203" s="8"/>
      <c r="N203" s="271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124192.44</v>
      </c>
      <c r="G204" s="18">
        <v>62793.07</v>
      </c>
      <c r="H204" s="18">
        <v>53363.47</v>
      </c>
      <c r="I204" s="18">
        <v>1536.78</v>
      </c>
      <c r="J204" s="18">
        <v>72</v>
      </c>
      <c r="K204" s="18">
        <v>3228.18</v>
      </c>
      <c r="L204" s="19">
        <f t="shared" si="0"/>
        <v>245185.94</v>
      </c>
      <c r="M204" s="8"/>
      <c r="N204" s="271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204768.2</v>
      </c>
      <c r="G205" s="18">
        <v>95067.77</v>
      </c>
      <c r="H205" s="18">
        <v>9897.57</v>
      </c>
      <c r="I205" s="18">
        <v>3796.88</v>
      </c>
      <c r="J205" s="18">
        <v>0</v>
      </c>
      <c r="K205" s="18">
        <v>158</v>
      </c>
      <c r="L205" s="19">
        <f t="shared" si="0"/>
        <v>313688.42000000004</v>
      </c>
      <c r="M205" s="8"/>
      <c r="N205" s="271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57178.02</v>
      </c>
      <c r="G206" s="18">
        <v>31969.119999999999</v>
      </c>
      <c r="H206" s="18">
        <v>7184.6</v>
      </c>
      <c r="I206" s="18">
        <v>4010.85</v>
      </c>
      <c r="J206" s="18">
        <v>276</v>
      </c>
      <c r="K206" s="18">
        <v>1069.92</v>
      </c>
      <c r="L206" s="19">
        <f t="shared" si="0"/>
        <v>101688.51000000001</v>
      </c>
      <c r="M206" s="8"/>
      <c r="N206" s="271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149510.32999999999</v>
      </c>
      <c r="G207" s="18">
        <v>100418.82</v>
      </c>
      <c r="H207" s="18">
        <v>72585.399999999994</v>
      </c>
      <c r="I207" s="18">
        <v>110833.67</v>
      </c>
      <c r="J207" s="18">
        <v>268.93</v>
      </c>
      <c r="K207" s="18">
        <v>0</v>
      </c>
      <c r="L207" s="19">
        <f t="shared" si="0"/>
        <v>433617.14999999997</v>
      </c>
      <c r="M207" s="8"/>
      <c r="N207" s="271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259846.95</v>
      </c>
      <c r="I208" s="18">
        <v>0</v>
      </c>
      <c r="J208" s="18">
        <v>0</v>
      </c>
      <c r="K208" s="18">
        <v>0</v>
      </c>
      <c r="L208" s="19">
        <f t="shared" si="0"/>
        <v>259846.95</v>
      </c>
      <c r="M208" s="8"/>
      <c r="N208" s="271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38796.44</v>
      </c>
      <c r="G209" s="18">
        <v>21840.34</v>
      </c>
      <c r="H209" s="18">
        <v>8022.97</v>
      </c>
      <c r="I209" s="18">
        <v>3215</v>
      </c>
      <c r="J209" s="18">
        <v>2448.08</v>
      </c>
      <c r="K209" s="18">
        <v>0</v>
      </c>
      <c r="L209" s="19">
        <f>SUM(F209:K209)</f>
        <v>74322.83</v>
      </c>
      <c r="M209" s="8"/>
      <c r="N209" s="271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1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2398021.67</v>
      </c>
      <c r="G211" s="41">
        <f t="shared" si="1"/>
        <v>1292858.8000000003</v>
      </c>
      <c r="H211" s="41">
        <f t="shared" si="1"/>
        <v>526410.13</v>
      </c>
      <c r="I211" s="41">
        <f t="shared" si="1"/>
        <v>225359.25</v>
      </c>
      <c r="J211" s="41">
        <f t="shared" si="1"/>
        <v>9389.85</v>
      </c>
      <c r="K211" s="41">
        <f t="shared" si="1"/>
        <v>4456.1000000000004</v>
      </c>
      <c r="L211" s="41">
        <f t="shared" si="1"/>
        <v>4456495.8</v>
      </c>
      <c r="M211" s="8"/>
      <c r="N211" s="271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6" t="s">
        <v>687</v>
      </c>
      <c r="G212" s="176" t="s">
        <v>688</v>
      </c>
      <c r="H212" s="176" t="s">
        <v>689</v>
      </c>
      <c r="I212" s="176" t="s">
        <v>690</v>
      </c>
      <c r="J212" s="176" t="s">
        <v>691</v>
      </c>
      <c r="K212" s="176" t="s">
        <v>692</v>
      </c>
      <c r="L212" s="67"/>
      <c r="M212" s="8"/>
      <c r="N212" s="271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1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1229178.76</v>
      </c>
      <c r="G215" s="18">
        <v>701487.26</v>
      </c>
      <c r="H215" s="18">
        <v>17500.419999999998</v>
      </c>
      <c r="I215" s="18">
        <v>36423.120000000003</v>
      </c>
      <c r="J215" s="18">
        <v>38071.379999999997</v>
      </c>
      <c r="K215" s="18">
        <v>120</v>
      </c>
      <c r="L215" s="19">
        <f>SUM(F215:K215)</f>
        <v>2022780.94</v>
      </c>
      <c r="M215" s="8"/>
      <c r="N215" s="271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163518.38</v>
      </c>
      <c r="G216" s="18">
        <v>109563.35</v>
      </c>
      <c r="H216" s="18">
        <v>324786.46999999997</v>
      </c>
      <c r="I216" s="18">
        <v>134.38999999999999</v>
      </c>
      <c r="J216" s="18">
        <v>0</v>
      </c>
      <c r="K216" s="18">
        <v>0</v>
      </c>
      <c r="L216" s="19">
        <f>SUM(F216:K216)</f>
        <v>598002.59</v>
      </c>
      <c r="M216" s="8"/>
      <c r="N216" s="271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1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20223</v>
      </c>
      <c r="G218" s="18">
        <v>3399.75</v>
      </c>
      <c r="H218" s="18">
        <v>7014</v>
      </c>
      <c r="I218" s="18">
        <v>3994</v>
      </c>
      <c r="J218" s="18">
        <v>734.63</v>
      </c>
      <c r="K218" s="18">
        <v>1367.5</v>
      </c>
      <c r="L218" s="19">
        <f>SUM(F218:K218)</f>
        <v>36732.879999999997</v>
      </c>
      <c r="M218" s="8"/>
      <c r="N218" s="271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1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221555.66</v>
      </c>
      <c r="G220" s="18">
        <v>102401.24</v>
      </c>
      <c r="H220" s="18">
        <v>55286.64</v>
      </c>
      <c r="I220" s="18">
        <v>1564.68</v>
      </c>
      <c r="J220" s="18">
        <v>0</v>
      </c>
      <c r="K220" s="18">
        <v>249</v>
      </c>
      <c r="L220" s="19">
        <f t="shared" ref="L220:L226" si="2">SUM(F220:K220)</f>
        <v>381057.22000000003</v>
      </c>
      <c r="M220" s="8"/>
      <c r="N220" s="271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25268.5</v>
      </c>
      <c r="G221" s="18">
        <v>34310.379999999997</v>
      </c>
      <c r="H221" s="18">
        <v>0</v>
      </c>
      <c r="I221" s="18">
        <v>6928.18</v>
      </c>
      <c r="J221" s="18">
        <v>0</v>
      </c>
      <c r="K221" s="18">
        <v>0</v>
      </c>
      <c r="L221" s="19">
        <f t="shared" si="2"/>
        <v>66507.06</v>
      </c>
      <c r="M221" s="8"/>
      <c r="N221" s="271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124217.69</v>
      </c>
      <c r="G222" s="18">
        <v>62795.29</v>
      </c>
      <c r="H222" s="18">
        <v>56094.11</v>
      </c>
      <c r="I222" s="18">
        <v>1775.12</v>
      </c>
      <c r="J222" s="18">
        <v>72</v>
      </c>
      <c r="K222" s="18">
        <v>3228.18</v>
      </c>
      <c r="L222" s="19">
        <f t="shared" si="2"/>
        <v>248182.39</v>
      </c>
      <c r="M222" s="8"/>
      <c r="N222" s="271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204966.61</v>
      </c>
      <c r="G223" s="18">
        <v>147890.93</v>
      </c>
      <c r="H223" s="18">
        <v>9352.82</v>
      </c>
      <c r="I223" s="18">
        <v>1600.13</v>
      </c>
      <c r="J223" s="18">
        <v>0</v>
      </c>
      <c r="K223" s="18">
        <v>1209</v>
      </c>
      <c r="L223" s="19">
        <f t="shared" si="2"/>
        <v>365019.49</v>
      </c>
      <c r="M223" s="8"/>
      <c r="N223" s="271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57178.02</v>
      </c>
      <c r="G224" s="18">
        <v>31969.119999999999</v>
      </c>
      <c r="H224" s="18">
        <v>7184.6</v>
      </c>
      <c r="I224" s="18">
        <v>4010.85</v>
      </c>
      <c r="J224" s="18">
        <v>276</v>
      </c>
      <c r="K224" s="18">
        <v>1069.93</v>
      </c>
      <c r="L224" s="19">
        <f t="shared" si="2"/>
        <v>101688.52</v>
      </c>
      <c r="M224" s="8"/>
      <c r="N224" s="271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144783.39000000001</v>
      </c>
      <c r="G225" s="18">
        <v>104895.39</v>
      </c>
      <c r="H225" s="18">
        <v>48748.94</v>
      </c>
      <c r="I225" s="18">
        <v>94624.09</v>
      </c>
      <c r="J225" s="18">
        <v>966.93</v>
      </c>
      <c r="K225" s="18">
        <v>0</v>
      </c>
      <c r="L225" s="19">
        <f t="shared" si="2"/>
        <v>394018.74000000005</v>
      </c>
      <c r="M225" s="8"/>
      <c r="N225" s="271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214386.8</v>
      </c>
      <c r="I226" s="18">
        <v>0</v>
      </c>
      <c r="J226" s="18">
        <v>0</v>
      </c>
      <c r="K226" s="18">
        <v>0</v>
      </c>
      <c r="L226" s="19">
        <f t="shared" si="2"/>
        <v>214386.8</v>
      </c>
      <c r="M226" s="8"/>
      <c r="N226" s="271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44707.13</v>
      </c>
      <c r="G227" s="18">
        <v>25086.74</v>
      </c>
      <c r="H227" s="18">
        <v>9272.81</v>
      </c>
      <c r="I227" s="18">
        <v>3215</v>
      </c>
      <c r="J227" s="18">
        <v>5700.52</v>
      </c>
      <c r="K227" s="18">
        <v>0</v>
      </c>
      <c r="L227" s="19">
        <f>SUM(F227:K227)</f>
        <v>87982.2</v>
      </c>
      <c r="M227" s="8"/>
      <c r="N227" s="271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1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2235597.14</v>
      </c>
      <c r="G229" s="41">
        <f>SUM(G215:G228)</f>
        <v>1323799.45</v>
      </c>
      <c r="H229" s="41">
        <f>SUM(H215:H228)</f>
        <v>749627.6100000001</v>
      </c>
      <c r="I229" s="41">
        <f>SUM(I215:I228)</f>
        <v>154269.56</v>
      </c>
      <c r="J229" s="41">
        <f>SUM(J215:J228)</f>
        <v>45821.459999999992</v>
      </c>
      <c r="K229" s="41">
        <f t="shared" si="3"/>
        <v>7243.6100000000006</v>
      </c>
      <c r="L229" s="41">
        <f t="shared" si="3"/>
        <v>4516358.83</v>
      </c>
      <c r="M229" s="8"/>
      <c r="N229" s="271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6" t="s">
        <v>687</v>
      </c>
      <c r="G230" s="176" t="s">
        <v>688</v>
      </c>
      <c r="H230" s="176" t="s">
        <v>689</v>
      </c>
      <c r="I230" s="176" t="s">
        <v>690</v>
      </c>
      <c r="J230" s="176" t="s">
        <v>691</v>
      </c>
      <c r="K230" s="176" t="s">
        <v>692</v>
      </c>
      <c r="L230" s="67"/>
      <c r="M230" s="8"/>
      <c r="N230" s="271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1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1482641.36-72.96</f>
        <v>1482568.4000000001</v>
      </c>
      <c r="G233" s="18">
        <v>797700.33</v>
      </c>
      <c r="H233" s="18">
        <v>18771.71</v>
      </c>
      <c r="I233" s="18">
        <v>57833.61</v>
      </c>
      <c r="J233" s="18">
        <f>15008.66</f>
        <v>15008.66</v>
      </c>
      <c r="K233" s="18">
        <v>250</v>
      </c>
      <c r="L233" s="19">
        <f>SUM(F233:K233)</f>
        <v>2372132.71</v>
      </c>
      <c r="M233" s="8"/>
      <c r="N233" s="271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240832.59</v>
      </c>
      <c r="G234" s="18">
        <v>147833.26</v>
      </c>
      <c r="H234" s="18">
        <v>312857.05</v>
      </c>
      <c r="I234" s="18">
        <v>834.42</v>
      </c>
      <c r="J234" s="18">
        <v>0</v>
      </c>
      <c r="K234" s="18">
        <v>0</v>
      </c>
      <c r="L234" s="19">
        <f>SUM(F234:K234)</f>
        <v>702357.32</v>
      </c>
      <c r="M234" s="8"/>
      <c r="N234" s="271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65753</v>
      </c>
      <c r="G235" s="18">
        <v>38033.1</v>
      </c>
      <c r="H235" s="18">
        <v>4654.83</v>
      </c>
      <c r="I235" s="18">
        <v>3368.23</v>
      </c>
      <c r="J235" s="18">
        <v>5483.99</v>
      </c>
      <c r="K235" s="18">
        <v>0</v>
      </c>
      <c r="L235" s="19">
        <f>SUM(F235:K235)</f>
        <v>117293.15000000001</v>
      </c>
      <c r="M235" s="8"/>
      <c r="N235" s="271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69094</v>
      </c>
      <c r="G236" s="18">
        <v>10287.36</v>
      </c>
      <c r="H236" s="18">
        <v>23613.41</v>
      </c>
      <c r="I236" s="18">
        <v>9009.41</v>
      </c>
      <c r="J236" s="18">
        <v>3061.27</v>
      </c>
      <c r="K236" s="18">
        <v>7635</v>
      </c>
      <c r="L236" s="19">
        <f>SUM(F236:K236)</f>
        <v>122700.45000000001</v>
      </c>
      <c r="M236" s="8"/>
      <c r="N236" s="271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1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277137.46000000002</v>
      </c>
      <c r="G238" s="18">
        <v>93322.45</v>
      </c>
      <c r="H238" s="18">
        <v>40026.839999999997</v>
      </c>
      <c r="I238" s="18">
        <v>6732.55</v>
      </c>
      <c r="J238" s="18">
        <f>109.13+72.95</f>
        <v>182.07999999999998</v>
      </c>
      <c r="K238" s="18">
        <v>25</v>
      </c>
      <c r="L238" s="19">
        <f t="shared" ref="L238:L244" si="4">SUM(F238:K238)</f>
        <v>417426.38</v>
      </c>
      <c r="M238" s="8"/>
      <c r="N238" s="271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61097</v>
      </c>
      <c r="G239" s="18">
        <v>37019.08</v>
      </c>
      <c r="H239" s="18">
        <v>0</v>
      </c>
      <c r="I239" s="18">
        <v>10059.11</v>
      </c>
      <c r="J239" s="18">
        <v>29.5</v>
      </c>
      <c r="K239" s="18">
        <v>0</v>
      </c>
      <c r="L239" s="19">
        <f t="shared" si="4"/>
        <v>108204.69</v>
      </c>
      <c r="M239" s="8"/>
      <c r="N239" s="271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124282.21</v>
      </c>
      <c r="G240" s="18">
        <v>62800.34</v>
      </c>
      <c r="H240" s="18">
        <v>53127.17</v>
      </c>
      <c r="I240" s="18">
        <v>1629.13</v>
      </c>
      <c r="J240" s="18">
        <v>72</v>
      </c>
      <c r="K240" s="18">
        <v>3254.97</v>
      </c>
      <c r="L240" s="19">
        <f t="shared" si="4"/>
        <v>245165.81999999998</v>
      </c>
      <c r="M240" s="8"/>
      <c r="N240" s="271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263068.53999999998</v>
      </c>
      <c r="G241" s="18">
        <v>151034.46</v>
      </c>
      <c r="H241" s="18">
        <v>11838.43</v>
      </c>
      <c r="I241" s="18">
        <v>3982.3</v>
      </c>
      <c r="J241" s="18">
        <v>112.49</v>
      </c>
      <c r="K241" s="18">
        <v>6483.2</v>
      </c>
      <c r="L241" s="19">
        <f t="shared" si="4"/>
        <v>436519.42</v>
      </c>
      <c r="M241" s="8"/>
      <c r="N241" s="271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57178.02</v>
      </c>
      <c r="G242" s="18">
        <v>31969.119999999999</v>
      </c>
      <c r="H242" s="18">
        <v>7184.6</v>
      </c>
      <c r="I242" s="18">
        <v>4010.85</v>
      </c>
      <c r="J242" s="18">
        <v>276</v>
      </c>
      <c r="K242" s="18">
        <v>1069.93</v>
      </c>
      <c r="L242" s="19">
        <f t="shared" si="4"/>
        <v>101688.52</v>
      </c>
      <c r="M242" s="8"/>
      <c r="N242" s="271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148085.26999999999</v>
      </c>
      <c r="G243" s="18">
        <v>100230.14</v>
      </c>
      <c r="H243" s="18">
        <v>114900.01</v>
      </c>
      <c r="I243" s="18">
        <v>149478.12</v>
      </c>
      <c r="J243" s="18">
        <v>605.16999999999996</v>
      </c>
      <c r="K243" s="18">
        <v>0</v>
      </c>
      <c r="L243" s="19">
        <f t="shared" si="4"/>
        <v>513298.70999999996</v>
      </c>
      <c r="M243" s="8"/>
      <c r="N243" s="271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v>238437.84</v>
      </c>
      <c r="I244" s="18">
        <v>0</v>
      </c>
      <c r="J244" s="18">
        <v>0</v>
      </c>
      <c r="K244" s="18">
        <v>0</v>
      </c>
      <c r="L244" s="19">
        <f t="shared" si="4"/>
        <v>238437.84</v>
      </c>
      <c r="M244" s="8"/>
      <c r="N244" s="271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75038.03</v>
      </c>
      <c r="G245" s="18">
        <v>41890.43</v>
      </c>
      <c r="H245" s="18">
        <v>15033.9</v>
      </c>
      <c r="I245" s="18">
        <v>3215</v>
      </c>
      <c r="J245" s="18">
        <v>3877.08</v>
      </c>
      <c r="K245" s="18">
        <v>0</v>
      </c>
      <c r="L245" s="19">
        <f>SUM(F245:K245)</f>
        <v>139054.43999999997</v>
      </c>
      <c r="M245" s="8"/>
      <c r="N245" s="271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1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2864134.52</v>
      </c>
      <c r="G247" s="41">
        <f t="shared" si="5"/>
        <v>1512120.07</v>
      </c>
      <c r="H247" s="41">
        <f t="shared" si="5"/>
        <v>840445.78999999992</v>
      </c>
      <c r="I247" s="41">
        <f t="shared" si="5"/>
        <v>250152.73</v>
      </c>
      <c r="J247" s="41">
        <f t="shared" si="5"/>
        <v>28708.240000000005</v>
      </c>
      <c r="K247" s="41">
        <f t="shared" si="5"/>
        <v>18718.099999999999</v>
      </c>
      <c r="L247" s="41">
        <f t="shared" si="5"/>
        <v>5514279.4499999993</v>
      </c>
      <c r="M247" s="8"/>
      <c r="N247" s="271"/>
    </row>
    <row r="248" spans="1:14" s="3" customFormat="1" ht="12.2" customHeight="1" x14ac:dyDescent="0.15">
      <c r="A248" s="70"/>
      <c r="B248" s="36"/>
      <c r="C248" s="37"/>
      <c r="D248" s="37"/>
      <c r="E248" s="37"/>
      <c r="F248" s="176" t="s">
        <v>687</v>
      </c>
      <c r="G248" s="176" t="s">
        <v>688</v>
      </c>
      <c r="H248" s="176" t="s">
        <v>689</v>
      </c>
      <c r="I248" s="176" t="s">
        <v>690</v>
      </c>
      <c r="J248" s="176" t="s">
        <v>691</v>
      </c>
      <c r="K248" s="176" t="s">
        <v>692</v>
      </c>
      <c r="L248" s="67"/>
      <c r="M248" s="8"/>
      <c r="N248" s="271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1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1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1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1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1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1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1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7497753.3300000001</v>
      </c>
      <c r="G257" s="41">
        <f t="shared" si="8"/>
        <v>4128778.3200000003</v>
      </c>
      <c r="H257" s="41">
        <f t="shared" si="8"/>
        <v>2116483.5300000003</v>
      </c>
      <c r="I257" s="41">
        <f t="shared" si="8"/>
        <v>629781.54</v>
      </c>
      <c r="J257" s="41">
        <f t="shared" si="8"/>
        <v>83919.549999999988</v>
      </c>
      <c r="K257" s="41">
        <f t="shared" si="8"/>
        <v>30417.809999999998</v>
      </c>
      <c r="L257" s="41">
        <f t="shared" si="8"/>
        <v>14487134.079999998</v>
      </c>
      <c r="M257" s="8"/>
      <c r="N257" s="271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1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1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1475000</v>
      </c>
      <c r="L260" s="19">
        <f>SUM(F260:K260)</f>
        <v>1475000</v>
      </c>
      <c r="M260" s="8"/>
      <c r="N260" s="271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755273.75</v>
      </c>
      <c r="L261" s="19">
        <f>SUM(F261:K261)</f>
        <v>755273.75</v>
      </c>
      <c r="N261" s="269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69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0</v>
      </c>
      <c r="L263" s="19">
        <f>SUM(F263:K263)</f>
        <v>0</v>
      </c>
      <c r="N263" s="269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69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69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85000</v>
      </c>
      <c r="L266" s="19">
        <f t="shared" si="9"/>
        <v>85000</v>
      </c>
      <c r="N266" s="269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69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0</v>
      </c>
      <c r="L268" s="19">
        <f t="shared" si="9"/>
        <v>0</v>
      </c>
      <c r="N268" s="269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>
        <v>0</v>
      </c>
      <c r="L269" s="19">
        <f t="shared" si="9"/>
        <v>0</v>
      </c>
      <c r="N269" s="269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2315273.75</v>
      </c>
      <c r="L270" s="41">
        <f t="shared" si="9"/>
        <v>2315273.75</v>
      </c>
      <c r="N270" s="269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7497753.3300000001</v>
      </c>
      <c r="G271" s="42">
        <f t="shared" si="11"/>
        <v>4128778.3200000003</v>
      </c>
      <c r="H271" s="42">
        <f t="shared" si="11"/>
        <v>2116483.5300000003</v>
      </c>
      <c r="I271" s="42">
        <f t="shared" si="11"/>
        <v>629781.54</v>
      </c>
      <c r="J271" s="42">
        <f t="shared" si="11"/>
        <v>83919.549999999988</v>
      </c>
      <c r="K271" s="42">
        <f t="shared" si="11"/>
        <v>2345691.56</v>
      </c>
      <c r="L271" s="42">
        <f t="shared" si="11"/>
        <v>16802407.829999998</v>
      </c>
      <c r="M271" s="8"/>
      <c r="N271" s="271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.2" customHeight="1" x14ac:dyDescent="0.15">
      <c r="A273" s="29" t="s">
        <v>464</v>
      </c>
      <c r="F273" s="176" t="s">
        <v>687</v>
      </c>
      <c r="G273" s="176" t="s">
        <v>688</v>
      </c>
      <c r="H273" s="176" t="s">
        <v>689</v>
      </c>
      <c r="I273" s="176" t="s">
        <v>690</v>
      </c>
      <c r="J273" s="176" t="s">
        <v>691</v>
      </c>
      <c r="K273" s="176" t="s">
        <v>692</v>
      </c>
      <c r="M273" s="8"/>
      <c r="N273" s="271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1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91506</v>
      </c>
      <c r="G276" s="18">
        <v>31706.5</v>
      </c>
      <c r="H276" s="18">
        <v>0</v>
      </c>
      <c r="I276" s="18">
        <v>1282.46</v>
      </c>
      <c r="J276" s="18">
        <v>0</v>
      </c>
      <c r="K276" s="18">
        <v>0</v>
      </c>
      <c r="L276" s="19">
        <f>SUM(F276:K276)</f>
        <v>124494.96</v>
      </c>
      <c r="M276" s="8"/>
      <c r="N276" s="271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92919.03</v>
      </c>
      <c r="G277" s="18">
        <v>52313.03</v>
      </c>
      <c r="H277" s="18">
        <v>1872.31</v>
      </c>
      <c r="I277" s="18">
        <v>1317</v>
      </c>
      <c r="J277" s="18">
        <v>1542.34</v>
      </c>
      <c r="K277" s="18">
        <v>0</v>
      </c>
      <c r="L277" s="19">
        <f>SUM(F277:K277)</f>
        <v>149963.71</v>
      </c>
      <c r="M277" s="8"/>
      <c r="N277" s="271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1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1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1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1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19811.689999999999</v>
      </c>
      <c r="G282" s="18">
        <v>2001.61</v>
      </c>
      <c r="H282" s="18">
        <v>2451.98</v>
      </c>
      <c r="I282" s="18">
        <v>0</v>
      </c>
      <c r="J282" s="18">
        <v>0</v>
      </c>
      <c r="K282" s="18">
        <v>0</v>
      </c>
      <c r="L282" s="19">
        <f t="shared" si="12"/>
        <v>24265.279999999999</v>
      </c>
      <c r="M282" s="8"/>
      <c r="N282" s="271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1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1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1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1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1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1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1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204236.72</v>
      </c>
      <c r="G290" s="42">
        <f t="shared" si="13"/>
        <v>86021.14</v>
      </c>
      <c r="H290" s="42">
        <f t="shared" si="13"/>
        <v>4324.29</v>
      </c>
      <c r="I290" s="42">
        <f t="shared" si="13"/>
        <v>2599.46</v>
      </c>
      <c r="J290" s="42">
        <f t="shared" si="13"/>
        <v>1542.34</v>
      </c>
      <c r="K290" s="42">
        <f t="shared" si="13"/>
        <v>0</v>
      </c>
      <c r="L290" s="41">
        <f t="shared" si="13"/>
        <v>298723.94999999995</v>
      </c>
      <c r="M290" s="8"/>
      <c r="N290" s="271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6" t="s">
        <v>687</v>
      </c>
      <c r="G292" s="176" t="s">
        <v>688</v>
      </c>
      <c r="H292" s="176" t="s">
        <v>689</v>
      </c>
      <c r="I292" s="176" t="s">
        <v>690</v>
      </c>
      <c r="J292" s="176" t="s">
        <v>691</v>
      </c>
      <c r="K292" s="176" t="s">
        <v>692</v>
      </c>
      <c r="L292" s="17"/>
      <c r="M292" s="8"/>
      <c r="N292" s="271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1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89988.45</v>
      </c>
      <c r="G295" s="18">
        <v>48353.41</v>
      </c>
      <c r="H295" s="18">
        <v>0</v>
      </c>
      <c r="I295" s="18">
        <v>1714.99</v>
      </c>
      <c r="J295" s="18">
        <v>0</v>
      </c>
      <c r="K295" s="18">
        <v>0</v>
      </c>
      <c r="L295" s="19">
        <f>SUM(F295:K295)</f>
        <v>140056.84999999998</v>
      </c>
      <c r="M295" s="8"/>
      <c r="N295" s="271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74363.7</v>
      </c>
      <c r="G296" s="18">
        <v>41886.089999999997</v>
      </c>
      <c r="H296" s="18">
        <v>559.99</v>
      </c>
      <c r="I296" s="18">
        <v>1096.97</v>
      </c>
      <c r="J296" s="18">
        <v>1284.6600000000001</v>
      </c>
      <c r="K296" s="18">
        <v>0</v>
      </c>
      <c r="L296" s="19">
        <f>SUM(F296:K296)</f>
        <v>119191.41</v>
      </c>
      <c r="M296" s="8"/>
      <c r="N296" s="271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1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1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1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1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16501.84</v>
      </c>
      <c r="G301" s="18">
        <v>1667.21</v>
      </c>
      <c r="H301" s="18">
        <v>2042.34</v>
      </c>
      <c r="I301" s="18">
        <v>0</v>
      </c>
      <c r="J301" s="18">
        <v>0</v>
      </c>
      <c r="K301" s="18">
        <v>0</v>
      </c>
      <c r="L301" s="19">
        <f t="shared" si="14"/>
        <v>20211.39</v>
      </c>
      <c r="M301" s="8"/>
      <c r="N301" s="271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1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1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1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1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1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1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1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180853.99</v>
      </c>
      <c r="G309" s="42">
        <f t="shared" si="15"/>
        <v>91906.71</v>
      </c>
      <c r="H309" s="42">
        <f t="shared" si="15"/>
        <v>2602.33</v>
      </c>
      <c r="I309" s="42">
        <f t="shared" si="15"/>
        <v>2811.96</v>
      </c>
      <c r="J309" s="42">
        <f t="shared" si="15"/>
        <v>1284.6600000000001</v>
      </c>
      <c r="K309" s="42">
        <f t="shared" si="15"/>
        <v>0</v>
      </c>
      <c r="L309" s="41">
        <f t="shared" si="15"/>
        <v>279459.64999999997</v>
      </c>
      <c r="N309" s="269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6" t="s">
        <v>687</v>
      </c>
      <c r="G311" s="176" t="s">
        <v>688</v>
      </c>
      <c r="H311" s="176" t="s">
        <v>689</v>
      </c>
      <c r="I311" s="176" t="s">
        <v>690</v>
      </c>
      <c r="J311" s="176" t="s">
        <v>691</v>
      </c>
      <c r="K311" s="176" t="s">
        <v>692</v>
      </c>
      <c r="L311" s="20"/>
      <c r="M311" s="8"/>
      <c r="N311" s="271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1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1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0</v>
      </c>
      <c r="G315" s="18">
        <v>0</v>
      </c>
      <c r="H315" s="18">
        <v>0</v>
      </c>
      <c r="I315" s="18">
        <v>37.72</v>
      </c>
      <c r="J315" s="18">
        <v>0</v>
      </c>
      <c r="K315" s="18">
        <v>0</v>
      </c>
      <c r="L315" s="19">
        <f>SUM(F315:K315)</f>
        <v>37.72</v>
      </c>
      <c r="M315" s="8"/>
      <c r="N315" s="271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1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1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1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1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16049.58</v>
      </c>
      <c r="G320" s="18">
        <v>1621.5</v>
      </c>
      <c r="H320" s="18">
        <v>1895.75</v>
      </c>
      <c r="I320" s="18">
        <v>0</v>
      </c>
      <c r="J320" s="18">
        <v>0</v>
      </c>
      <c r="K320" s="18">
        <v>0</v>
      </c>
      <c r="L320" s="19">
        <f t="shared" si="16"/>
        <v>19566.830000000002</v>
      </c>
      <c r="M320" s="8"/>
      <c r="N320" s="271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1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1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1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1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1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1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1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16049.58</v>
      </c>
      <c r="G328" s="42">
        <f t="shared" si="17"/>
        <v>1621.5</v>
      </c>
      <c r="H328" s="42">
        <f t="shared" si="17"/>
        <v>1895.75</v>
      </c>
      <c r="I328" s="42">
        <f t="shared" si="17"/>
        <v>37.72</v>
      </c>
      <c r="J328" s="42">
        <f t="shared" si="17"/>
        <v>0</v>
      </c>
      <c r="K328" s="42">
        <f t="shared" si="17"/>
        <v>0</v>
      </c>
      <c r="L328" s="41">
        <f t="shared" si="17"/>
        <v>19604.550000000003</v>
      </c>
      <c r="M328" s="8"/>
      <c r="N328" s="271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6" t="s">
        <v>687</v>
      </c>
      <c r="G330" s="176" t="s">
        <v>688</v>
      </c>
      <c r="H330" s="176" t="s">
        <v>689</v>
      </c>
      <c r="I330" s="176" t="s">
        <v>690</v>
      </c>
      <c r="J330" s="176" t="s">
        <v>691</v>
      </c>
      <c r="K330" s="176" t="s">
        <v>692</v>
      </c>
      <c r="L330" s="19"/>
      <c r="M330" s="8"/>
      <c r="N330" s="271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1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1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1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1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1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401140.29</v>
      </c>
      <c r="G338" s="41">
        <f t="shared" si="20"/>
        <v>179549.35</v>
      </c>
      <c r="H338" s="41">
        <f t="shared" si="20"/>
        <v>8822.369999999999</v>
      </c>
      <c r="I338" s="41">
        <f t="shared" si="20"/>
        <v>5449.14</v>
      </c>
      <c r="J338" s="41">
        <f t="shared" si="20"/>
        <v>2827</v>
      </c>
      <c r="K338" s="41">
        <f t="shared" si="20"/>
        <v>0</v>
      </c>
      <c r="L338" s="41">
        <f t="shared" si="20"/>
        <v>597788.14999999991</v>
      </c>
      <c r="M338" s="8"/>
      <c r="N338" s="271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1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>
        <v>0</v>
      </c>
      <c r="L341" s="19">
        <f>SUM(F341:K341)</f>
        <v>0</v>
      </c>
      <c r="M341" s="8"/>
      <c r="N341" s="271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>
        <v>0</v>
      </c>
      <c r="L342" s="19">
        <f>SUM(F342:K342)</f>
        <v>0</v>
      </c>
      <c r="M342" s="8"/>
      <c r="N342" s="271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f>48432-0.12</f>
        <v>48431.88</v>
      </c>
      <c r="L344" s="19">
        <f t="shared" ref="L344:L350" si="21">SUM(F344:K344)</f>
        <v>48431.88</v>
      </c>
      <c r="M344" s="8"/>
      <c r="N344" s="271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>
        <v>0</v>
      </c>
      <c r="L345" s="19">
        <f t="shared" si="21"/>
        <v>0</v>
      </c>
      <c r="M345" s="8"/>
      <c r="N345" s="271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>
        <v>0</v>
      </c>
      <c r="L346" s="19">
        <f t="shared" si="21"/>
        <v>0</v>
      </c>
      <c r="M346" s="8"/>
      <c r="N346" s="271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>
        <v>0</v>
      </c>
      <c r="L347" s="19">
        <f t="shared" si="21"/>
        <v>0</v>
      </c>
      <c r="M347" s="8"/>
      <c r="N347" s="271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1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>
        <v>0</v>
      </c>
      <c r="L349" s="19">
        <f t="shared" si="21"/>
        <v>0</v>
      </c>
      <c r="M349" s="8"/>
      <c r="N349" s="271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0</v>
      </c>
      <c r="L350" s="19">
        <f t="shared" si="21"/>
        <v>0</v>
      </c>
      <c r="M350" s="8"/>
      <c r="N350" s="271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48431.88</v>
      </c>
      <c r="L351" s="41">
        <f>SUM(L341:L350)</f>
        <v>48431.88</v>
      </c>
      <c r="M351" s="8"/>
      <c r="N351" s="271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401140.29</v>
      </c>
      <c r="G352" s="41">
        <f>G338</f>
        <v>179549.35</v>
      </c>
      <c r="H352" s="41">
        <f>H338</f>
        <v>8822.369999999999</v>
      </c>
      <c r="I352" s="41">
        <f>I338</f>
        <v>5449.14</v>
      </c>
      <c r="J352" s="41">
        <f>J338</f>
        <v>2827</v>
      </c>
      <c r="K352" s="47">
        <f>K338+K351</f>
        <v>48431.88</v>
      </c>
      <c r="L352" s="41">
        <f>L338+L351</f>
        <v>646220.02999999991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.2" customHeight="1" x14ac:dyDescent="0.2">
      <c r="A354" s="54"/>
      <c r="B354" s="52"/>
      <c r="C354" s="52"/>
      <c r="D354" s="52"/>
      <c r="E354" s="52"/>
      <c r="F354" s="176" t="s">
        <v>687</v>
      </c>
      <c r="G354" s="176" t="s">
        <v>688</v>
      </c>
      <c r="H354" s="176" t="s">
        <v>689</v>
      </c>
      <c r="I354" s="176" t="s">
        <v>690</v>
      </c>
      <c r="J354" s="176" t="s">
        <v>691</v>
      </c>
      <c r="K354" s="176" t="s">
        <v>692</v>
      </c>
      <c r="L354" s="53"/>
      <c r="M354" s="8"/>
      <c r="N354" s="271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1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1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0</v>
      </c>
      <c r="G358" s="18">
        <v>0</v>
      </c>
      <c r="H358" s="18">
        <v>149003.09</v>
      </c>
      <c r="I358" s="18">
        <v>0</v>
      </c>
      <c r="J358" s="18">
        <v>0</v>
      </c>
      <c r="K358" s="18">
        <v>0</v>
      </c>
      <c r="L358" s="13">
        <f>SUM(F358:K358)</f>
        <v>149003.09</v>
      </c>
      <c r="N358" s="269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0</v>
      </c>
      <c r="G359" s="18">
        <v>0</v>
      </c>
      <c r="H359" s="18">
        <v>124169.24</v>
      </c>
      <c r="I359" s="18">
        <v>0</v>
      </c>
      <c r="J359" s="18">
        <v>0</v>
      </c>
      <c r="K359" s="18">
        <v>0</v>
      </c>
      <c r="L359" s="19">
        <f>SUM(F359:K359)</f>
        <v>124169.24</v>
      </c>
      <c r="M359" s="8"/>
      <c r="N359" s="271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0</v>
      </c>
      <c r="G360" s="18">
        <v>0</v>
      </c>
      <c r="H360" s="18">
        <v>121015.74</v>
      </c>
      <c r="I360" s="18">
        <v>0</v>
      </c>
      <c r="J360" s="18">
        <v>0</v>
      </c>
      <c r="K360" s="18">
        <v>0</v>
      </c>
      <c r="L360" s="19">
        <f>SUM(F360:K360)</f>
        <v>121015.74</v>
      </c>
      <c r="M360" s="8"/>
      <c r="N360" s="271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>
        <v>0</v>
      </c>
      <c r="L361" s="13">
        <f>SUM(F361:K361)</f>
        <v>0</v>
      </c>
      <c r="M361" s="8"/>
      <c r="N361" s="271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394188.07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394188.07</v>
      </c>
      <c r="M362" s="8"/>
      <c r="N362" s="271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1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1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0</v>
      </c>
      <c r="G367" s="18">
        <v>0</v>
      </c>
      <c r="H367" s="18">
        <v>0</v>
      </c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1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0</v>
      </c>
      <c r="G368" s="63">
        <v>0</v>
      </c>
      <c r="H368" s="63">
        <v>0</v>
      </c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1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1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6" t="s">
        <v>687</v>
      </c>
      <c r="G371" s="176" t="s">
        <v>688</v>
      </c>
      <c r="H371" s="176" t="s">
        <v>689</v>
      </c>
      <c r="I371" s="176" t="s">
        <v>690</v>
      </c>
      <c r="J371" s="176" t="s">
        <v>691</v>
      </c>
      <c r="K371" s="176" t="s">
        <v>692</v>
      </c>
      <c r="L371" s="13"/>
      <c r="M371" s="8"/>
      <c r="N371" s="271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1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1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1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1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1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1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1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1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>
        <v>0</v>
      </c>
      <c r="L381" s="13">
        <f t="shared" si="23"/>
        <v>0</v>
      </c>
      <c r="M381" s="8"/>
      <c r="N381" s="271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1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1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>
        <v>0</v>
      </c>
      <c r="G387" s="18">
        <v>0</v>
      </c>
      <c r="H387" s="18">
        <v>0</v>
      </c>
      <c r="I387" s="18">
        <v>0</v>
      </c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1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286</v>
      </c>
      <c r="K388" s="24" t="s">
        <v>286</v>
      </c>
      <c r="L388" s="56">
        <f t="shared" si="25"/>
        <v>0</v>
      </c>
      <c r="M388" s="8"/>
      <c r="N388" s="271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286</v>
      </c>
      <c r="K389" s="24" t="s">
        <v>286</v>
      </c>
      <c r="L389" s="56">
        <f t="shared" si="25"/>
        <v>0</v>
      </c>
      <c r="M389" s="8"/>
      <c r="N389" s="271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286</v>
      </c>
      <c r="K390" s="24" t="s">
        <v>286</v>
      </c>
      <c r="L390" s="56">
        <f t="shared" si="25"/>
        <v>0</v>
      </c>
      <c r="M390" s="8"/>
      <c r="N390" s="271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286</v>
      </c>
      <c r="K391" s="24" t="s">
        <v>286</v>
      </c>
      <c r="L391" s="56">
        <f t="shared" si="25"/>
        <v>0</v>
      </c>
      <c r="M391" s="8"/>
      <c r="N391" s="271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286</v>
      </c>
      <c r="K392" s="24" t="s">
        <v>286</v>
      </c>
      <c r="L392" s="56">
        <f t="shared" si="25"/>
        <v>0</v>
      </c>
      <c r="M392" s="8"/>
      <c r="N392" s="271"/>
    </row>
    <row r="393" spans="1:14" s="3" customFormat="1" ht="12.2" customHeight="1" thickTop="1" x14ac:dyDescent="0.15">
      <c r="A393" s="159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1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1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1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>
        <v>0</v>
      </c>
      <c r="G396" s="18">
        <v>35000</v>
      </c>
      <c r="H396" s="18">
        <v>4657.57</v>
      </c>
      <c r="I396" s="18">
        <v>0</v>
      </c>
      <c r="J396" s="24" t="s">
        <v>286</v>
      </c>
      <c r="K396" s="24" t="s">
        <v>286</v>
      </c>
      <c r="L396" s="56">
        <f t="shared" si="26"/>
        <v>39657.57</v>
      </c>
      <c r="M396" s="8"/>
      <c r="N396" s="271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>
        <v>0</v>
      </c>
      <c r="G397" s="18">
        <v>50000</v>
      </c>
      <c r="H397" s="18">
        <v>5254.75</v>
      </c>
      <c r="I397" s="18">
        <v>0</v>
      </c>
      <c r="J397" s="24" t="s">
        <v>286</v>
      </c>
      <c r="K397" s="24" t="s">
        <v>286</v>
      </c>
      <c r="L397" s="56">
        <f t="shared" si="26"/>
        <v>55254.75</v>
      </c>
      <c r="M397" s="8"/>
      <c r="N397" s="271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286</v>
      </c>
      <c r="K398" s="24" t="s">
        <v>286</v>
      </c>
      <c r="L398" s="56">
        <f t="shared" si="26"/>
        <v>0</v>
      </c>
      <c r="M398" s="8"/>
      <c r="N398" s="271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286</v>
      </c>
      <c r="K399" s="24" t="s">
        <v>286</v>
      </c>
      <c r="L399" s="56">
        <f t="shared" si="26"/>
        <v>0</v>
      </c>
      <c r="M399" s="8"/>
      <c r="N399" s="271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>
        <v>0</v>
      </c>
      <c r="G400" s="18">
        <v>0</v>
      </c>
      <c r="H400" s="18">
        <v>40.83</v>
      </c>
      <c r="I400" s="18">
        <v>0</v>
      </c>
      <c r="J400" s="24" t="s">
        <v>286</v>
      </c>
      <c r="K400" s="24" t="s">
        <v>286</v>
      </c>
      <c r="L400" s="56">
        <f t="shared" si="26"/>
        <v>40.83</v>
      </c>
      <c r="M400" s="8"/>
      <c r="N400" s="271"/>
    </row>
    <row r="401" spans="1:35" s="3" customFormat="1" ht="12.2" customHeight="1" thickTop="1" x14ac:dyDescent="0.15">
      <c r="A401" s="159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85000</v>
      </c>
      <c r="H401" s="47">
        <f>SUM(H395:H400)</f>
        <v>9953.15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94953.150000000009</v>
      </c>
      <c r="M401" s="8"/>
      <c r="N401" s="271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1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286</v>
      </c>
      <c r="K403" s="24" t="s">
        <v>286</v>
      </c>
      <c r="L403" s="56">
        <f>SUM(F403:K403)</f>
        <v>0</v>
      </c>
      <c r="M403" s="8"/>
      <c r="N403" s="271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286</v>
      </c>
      <c r="K404" s="24" t="s">
        <v>286</v>
      </c>
      <c r="L404" s="56">
        <f>SUM(F404:K404)</f>
        <v>0</v>
      </c>
      <c r="M404" s="8"/>
      <c r="N404" s="271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286</v>
      </c>
      <c r="K405" s="24" t="s">
        <v>286</v>
      </c>
      <c r="L405" s="56">
        <f>SUM(F405:K405)</f>
        <v>0</v>
      </c>
      <c r="M405" s="8"/>
      <c r="N405" s="271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286</v>
      </c>
      <c r="K406" s="24" t="s">
        <v>286</v>
      </c>
      <c r="L406" s="56">
        <f>SUM(F406:K406)</f>
        <v>0</v>
      </c>
      <c r="M406" s="8"/>
      <c r="N406" s="271"/>
    </row>
    <row r="407" spans="1:35" s="3" customFormat="1" ht="12.2" customHeight="1" thickTop="1" thickBot="1" x14ac:dyDescent="0.2">
      <c r="A407" s="159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1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85000</v>
      </c>
      <c r="H408" s="47">
        <f>H393+H401+H407</f>
        <v>9953.15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94953.150000000009</v>
      </c>
      <c r="M408" s="8"/>
      <c r="N408" s="271"/>
    </row>
    <row r="409" spans="1:35" s="3" customFormat="1" ht="12.2" customHeight="1" x14ac:dyDescent="0.15">
      <c r="A409" s="78"/>
      <c r="B409" s="2"/>
      <c r="C409" s="6"/>
      <c r="D409" s="6"/>
      <c r="E409" s="6"/>
      <c r="F409" s="176" t="s">
        <v>687</v>
      </c>
      <c r="G409" s="176" t="s">
        <v>688</v>
      </c>
      <c r="H409" s="176" t="s">
        <v>689</v>
      </c>
      <c r="I409" s="176" t="s">
        <v>690</v>
      </c>
      <c r="J409" s="176" t="s">
        <v>691</v>
      </c>
      <c r="K409" s="176" t="s">
        <v>692</v>
      </c>
      <c r="L409" s="56"/>
      <c r="M409" s="8"/>
      <c r="N409" s="271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1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1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1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1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1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1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1"/>
    </row>
    <row r="419" spans="1:35" s="3" customFormat="1" ht="12.2" customHeight="1" thickTop="1" x14ac:dyDescent="0.15">
      <c r="A419" s="159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1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1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1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1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1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1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1"/>
    </row>
    <row r="427" spans="1:35" s="3" customFormat="1" ht="12.2" customHeight="1" thickTop="1" x14ac:dyDescent="0.15">
      <c r="A427" s="159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1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6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6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6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69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1"/>
    </row>
    <row r="433" spans="1:14" s="3" customFormat="1" ht="12.2" customHeight="1" thickTop="1" thickBot="1" x14ac:dyDescent="0.2">
      <c r="A433" s="159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1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1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1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612644.88</v>
      </c>
      <c r="G440" s="18">
        <v>0</v>
      </c>
      <c r="H440" s="18">
        <v>0</v>
      </c>
      <c r="I440" s="56">
        <f t="shared" si="33"/>
        <v>612644.88</v>
      </c>
      <c r="J440" s="24" t="s">
        <v>286</v>
      </c>
      <c r="K440" s="24" t="s">
        <v>286</v>
      </c>
      <c r="L440" s="24" t="s">
        <v>286</v>
      </c>
      <c r="M440" s="8"/>
      <c r="N440" s="271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1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1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1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1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1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612644.88</v>
      </c>
      <c r="G446" s="13">
        <f>SUM(G439:G445)</f>
        <v>0</v>
      </c>
      <c r="H446" s="13">
        <f>SUM(H439:H445)</f>
        <v>0</v>
      </c>
      <c r="I446" s="13">
        <f>SUM(I439:I445)</f>
        <v>612644.88</v>
      </c>
      <c r="J446" s="24" t="s">
        <v>286</v>
      </c>
      <c r="K446" s="24" t="s">
        <v>286</v>
      </c>
      <c r="L446" s="24" t="s">
        <v>286</v>
      </c>
      <c r="M446" s="8"/>
      <c r="N446" s="271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1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1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1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1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1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1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1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1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1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6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612644.88</v>
      </c>
      <c r="G459" s="18">
        <v>0</v>
      </c>
      <c r="H459" s="18">
        <v>0</v>
      </c>
      <c r="I459" s="56">
        <f t="shared" si="34"/>
        <v>612644.88</v>
      </c>
      <c r="J459" s="24" t="s">
        <v>286</v>
      </c>
      <c r="K459" s="24" t="s">
        <v>286</v>
      </c>
      <c r="L459" s="24" t="s">
        <v>286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612644.88</v>
      </c>
      <c r="G460" s="83">
        <f>SUM(G454:G459)</f>
        <v>0</v>
      </c>
      <c r="H460" s="83">
        <f>SUM(H454:H459)</f>
        <v>0</v>
      </c>
      <c r="I460" s="83">
        <f>SUM(I454:I459)</f>
        <v>612644.88</v>
      </c>
      <c r="J460" s="24" t="s">
        <v>286</v>
      </c>
      <c r="K460" s="24" t="s">
        <v>286</v>
      </c>
      <c r="L460" s="24" t="s">
        <v>286</v>
      </c>
      <c r="N460" s="270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6" t="s">
        <v>430</v>
      </c>
      <c r="E461" s="82"/>
      <c r="F461" s="42">
        <f>F452+F460</f>
        <v>612644.88</v>
      </c>
      <c r="G461" s="42">
        <f>G452+G460</f>
        <v>0</v>
      </c>
      <c r="H461" s="42">
        <f>H452+H460</f>
        <v>0</v>
      </c>
      <c r="I461" s="42">
        <f>I452+I460</f>
        <v>612644.88</v>
      </c>
      <c r="J461" s="24" t="s">
        <v>286</v>
      </c>
      <c r="K461" s="24" t="s">
        <v>286</v>
      </c>
      <c r="L461" s="24" t="s">
        <v>286</v>
      </c>
      <c r="N461" s="270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0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.2" customHeight="1" x14ac:dyDescent="0.2">
      <c r="A465" s="188" t="s">
        <v>903</v>
      </c>
      <c r="B465" s="105">
        <v>19</v>
      </c>
      <c r="C465" s="111">
        <v>1</v>
      </c>
      <c r="D465" s="2" t="s">
        <v>430</v>
      </c>
      <c r="E465" s="111"/>
      <c r="F465" s="18">
        <f>1409634.64</f>
        <v>1409634.64</v>
      </c>
      <c r="G465" s="18">
        <v>17055.87</v>
      </c>
      <c r="H465" s="18">
        <v>2494.75</v>
      </c>
      <c r="I465" s="18">
        <v>0</v>
      </c>
      <c r="J465" s="18">
        <v>517691.73</v>
      </c>
      <c r="K465" s="24" t="s">
        <v>286</v>
      </c>
      <c r="L465" s="24" t="s">
        <v>286</v>
      </c>
      <c r="N465" s="270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0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0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16817052.59</v>
      </c>
      <c r="G468" s="18">
        <f>G193</f>
        <v>388208.69</v>
      </c>
      <c r="H468" s="18">
        <f>H169</f>
        <v>646624.17999999993</v>
      </c>
      <c r="I468" s="18">
        <v>0</v>
      </c>
      <c r="J468" s="18">
        <v>94953.15</v>
      </c>
      <c r="K468" s="24" t="s">
        <v>286</v>
      </c>
      <c r="L468" s="24" t="s">
        <v>286</v>
      </c>
      <c r="N468" s="270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0</v>
      </c>
      <c r="G469" s="18">
        <v>439.31</v>
      </c>
      <c r="H469" s="18">
        <v>0</v>
      </c>
      <c r="I469" s="18">
        <v>0</v>
      </c>
      <c r="J469" s="18">
        <v>0</v>
      </c>
      <c r="K469" s="24" t="s">
        <v>286</v>
      </c>
      <c r="L469" s="24" t="s">
        <v>286</v>
      </c>
      <c r="N469" s="270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16817052.59</v>
      </c>
      <c r="G470" s="53">
        <f>SUM(G468:G469)</f>
        <v>388648</v>
      </c>
      <c r="H470" s="53">
        <f>SUM(H468:H469)</f>
        <v>646624.17999999993</v>
      </c>
      <c r="I470" s="53">
        <f>SUM(I468:I469)</f>
        <v>0</v>
      </c>
      <c r="J470" s="53">
        <f>SUM(J468:J469)</f>
        <v>94953.15</v>
      </c>
      <c r="K470" s="24" t="s">
        <v>286</v>
      </c>
      <c r="L470" s="24" t="s">
        <v>286</v>
      </c>
      <c r="N470" s="270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0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16802407.829999998</v>
      </c>
      <c r="G472" s="18">
        <f>L362</f>
        <v>394188.07</v>
      </c>
      <c r="H472" s="18">
        <v>646220.03</v>
      </c>
      <c r="I472" s="18">
        <v>0</v>
      </c>
      <c r="J472" s="18">
        <v>0</v>
      </c>
      <c r="K472" s="24" t="s">
        <v>286</v>
      </c>
      <c r="L472" s="24" t="s">
        <v>286</v>
      </c>
      <c r="N472" s="270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0</v>
      </c>
      <c r="G473" s="18">
        <v>1537.88</v>
      </c>
      <c r="H473" s="18">
        <v>878.14</v>
      </c>
      <c r="I473" s="18">
        <v>0</v>
      </c>
      <c r="J473" s="18">
        <v>0</v>
      </c>
      <c r="K473" s="24" t="s">
        <v>286</v>
      </c>
      <c r="L473" s="24" t="s">
        <v>286</v>
      </c>
      <c r="N473" s="270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16802407.829999998</v>
      </c>
      <c r="G474" s="53">
        <f>SUM(G472:G473)</f>
        <v>395725.95</v>
      </c>
      <c r="H474" s="53">
        <f>SUM(H472:H473)</f>
        <v>647098.17000000004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0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0"/>
    </row>
    <row r="476" spans="1:14" s="52" customFormat="1" ht="12.2" customHeight="1" x14ac:dyDescent="0.2">
      <c r="A476" s="189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1424279.4000000022</v>
      </c>
      <c r="G476" s="53">
        <f>(G465+G470)- G474</f>
        <v>9977.9199999999837</v>
      </c>
      <c r="H476" s="53">
        <f>(H465+H470)- H474</f>
        <v>2020.7599999998929</v>
      </c>
      <c r="I476" s="53">
        <f>(I465+I470)- I474</f>
        <v>0</v>
      </c>
      <c r="J476" s="53">
        <f>(J465+J470)- J474</f>
        <v>612644.88</v>
      </c>
      <c r="K476" s="24" t="s">
        <v>286</v>
      </c>
      <c r="L476" s="24" t="s">
        <v>286</v>
      </c>
      <c r="N476" s="270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.2" customHeight="1" x14ac:dyDescent="0.2">
      <c r="A480" s="18" t="s">
        <v>915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0"/>
    </row>
    <row r="481" spans="1:14" s="52" customFormat="1" ht="12.2" customHeight="1" x14ac:dyDescent="0.2">
      <c r="A481" s="174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0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0"/>
    </row>
    <row r="483" spans="1:14" s="52" customFormat="1" ht="12.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.2" customHeight="1" x14ac:dyDescent="0.2">
      <c r="A484" s="173" t="s">
        <v>913</v>
      </c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0"/>
    </row>
    <row r="485" spans="1:14" s="52" customFormat="1" ht="12.2" customHeight="1" x14ac:dyDescent="0.2">
      <c r="A485" s="173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0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.2" customHeight="1" x14ac:dyDescent="0.2">
      <c r="A488" s="146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0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0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3">
        <v>16</v>
      </c>
      <c r="G490" s="153"/>
      <c r="H490" s="153"/>
      <c r="I490" s="153"/>
      <c r="J490" s="153"/>
      <c r="K490" s="24" t="s">
        <v>286</v>
      </c>
      <c r="L490" s="24" t="s">
        <v>286</v>
      </c>
      <c r="N490" s="270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4" t="s">
        <v>916</v>
      </c>
      <c r="G491" s="154"/>
      <c r="H491" s="153"/>
      <c r="I491" s="153"/>
      <c r="J491" s="153"/>
      <c r="K491" s="24" t="s">
        <v>286</v>
      </c>
      <c r="L491" s="24" t="s">
        <v>286</v>
      </c>
      <c r="N491" s="270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4" t="s">
        <v>917</v>
      </c>
      <c r="G492" s="154"/>
      <c r="H492" s="153"/>
      <c r="I492" s="153"/>
      <c r="J492" s="153"/>
      <c r="K492" s="24" t="s">
        <v>286</v>
      </c>
      <c r="L492" s="24" t="s">
        <v>286</v>
      </c>
      <c r="N492" s="270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23623315</v>
      </c>
      <c r="G493" s="18"/>
      <c r="H493" s="18"/>
      <c r="I493" s="18"/>
      <c r="J493" s="18"/>
      <c r="K493" s="24" t="s">
        <v>286</v>
      </c>
      <c r="L493" s="24" t="s">
        <v>286</v>
      </c>
      <c r="N493" s="270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5.39</v>
      </c>
      <c r="G494" s="18"/>
      <c r="H494" s="18"/>
      <c r="I494" s="18"/>
      <c r="J494" s="18"/>
      <c r="K494" s="24" t="s">
        <v>286</v>
      </c>
      <c r="L494" s="24" t="s">
        <v>286</v>
      </c>
      <c r="N494" s="270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14750000</v>
      </c>
      <c r="G495" s="18"/>
      <c r="H495" s="18"/>
      <c r="I495" s="18"/>
      <c r="J495" s="18"/>
      <c r="K495" s="53">
        <f>SUM(F495:J495)</f>
        <v>14750000</v>
      </c>
      <c r="L495" s="24" t="s">
        <v>286</v>
      </c>
      <c r="N495" s="270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0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1475000</v>
      </c>
      <c r="G497" s="18"/>
      <c r="H497" s="18"/>
      <c r="I497" s="18"/>
      <c r="J497" s="18"/>
      <c r="K497" s="53">
        <f t="shared" si="35"/>
        <v>1475000</v>
      </c>
      <c r="L497" s="24" t="s">
        <v>286</v>
      </c>
      <c r="N497" s="270"/>
    </row>
    <row r="498" spans="1:14" s="52" customFormat="1" ht="12.2" customHeight="1" x14ac:dyDescent="0.2">
      <c r="A498" s="199" t="s">
        <v>620</v>
      </c>
      <c r="B498" s="200">
        <v>20</v>
      </c>
      <c r="C498" s="201">
        <v>9</v>
      </c>
      <c r="D498" s="202" t="s">
        <v>430</v>
      </c>
      <c r="E498" s="201"/>
      <c r="F498" s="203">
        <v>13275000</v>
      </c>
      <c r="G498" s="203"/>
      <c r="H498" s="203"/>
      <c r="I498" s="203"/>
      <c r="J498" s="203"/>
      <c r="K498" s="204">
        <f t="shared" si="35"/>
        <v>13275000</v>
      </c>
      <c r="L498" s="205" t="s">
        <v>286</v>
      </c>
      <c r="N498" s="270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3219851.25</v>
      </c>
      <c r="G499" s="18"/>
      <c r="H499" s="18"/>
      <c r="I499" s="18"/>
      <c r="J499" s="18"/>
      <c r="K499" s="53">
        <f t="shared" si="35"/>
        <v>3219851.25</v>
      </c>
      <c r="L499" s="24" t="s">
        <v>286</v>
      </c>
      <c r="N499" s="270"/>
    </row>
    <row r="500" spans="1:14" s="52" customFormat="1" ht="12.2" customHeight="1" thickTop="1" x14ac:dyDescent="0.2">
      <c r="A500" s="139" t="s">
        <v>622</v>
      </c>
      <c r="B500" s="44">
        <v>20</v>
      </c>
      <c r="C500" s="194">
        <v>11</v>
      </c>
      <c r="D500" s="39" t="s">
        <v>430</v>
      </c>
      <c r="E500" s="194"/>
      <c r="F500" s="42">
        <f>SUM(F498:F499)</f>
        <v>16494851.25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16494851.25</v>
      </c>
      <c r="L500" s="45" t="s">
        <v>286</v>
      </c>
      <c r="N500" s="270"/>
    </row>
    <row r="501" spans="1:14" s="52" customFormat="1" ht="12.2" customHeight="1" x14ac:dyDescent="0.2">
      <c r="A501" s="199" t="s">
        <v>649</v>
      </c>
      <c r="B501" s="200">
        <v>20</v>
      </c>
      <c r="C501" s="201">
        <v>12</v>
      </c>
      <c r="D501" s="202" t="s">
        <v>430</v>
      </c>
      <c r="E501" s="201"/>
      <c r="F501" s="203">
        <v>1475000</v>
      </c>
      <c r="G501" s="203"/>
      <c r="H501" s="203"/>
      <c r="I501" s="203"/>
      <c r="J501" s="203"/>
      <c r="K501" s="204">
        <f t="shared" si="35"/>
        <v>1475000</v>
      </c>
      <c r="L501" s="205" t="s">
        <v>286</v>
      </c>
      <c r="N501" s="270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675771.25</v>
      </c>
      <c r="G502" s="18"/>
      <c r="H502" s="18"/>
      <c r="I502" s="18"/>
      <c r="J502" s="18"/>
      <c r="K502" s="53">
        <f t="shared" si="35"/>
        <v>675771.25</v>
      </c>
      <c r="L502" s="24" t="s">
        <v>286</v>
      </c>
      <c r="N502" s="270"/>
    </row>
    <row r="503" spans="1:14" s="52" customFormat="1" ht="12.2" customHeight="1" thickTop="1" x14ac:dyDescent="0.2">
      <c r="A503" s="139" t="s">
        <v>624</v>
      </c>
      <c r="B503" s="44">
        <v>20</v>
      </c>
      <c r="C503" s="194">
        <v>14</v>
      </c>
      <c r="D503" s="39" t="s">
        <v>430</v>
      </c>
      <c r="E503" s="194"/>
      <c r="F503" s="42">
        <f>SUM(F501:F502)</f>
        <v>2150771.25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2150771.25</v>
      </c>
      <c r="L503" s="45" t="s">
        <v>286</v>
      </c>
      <c r="N503" s="270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0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0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.2" customHeight="1" x14ac:dyDescent="0.2">
      <c r="A509" s="146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0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0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0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0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0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0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0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6" t="s">
        <v>687</v>
      </c>
      <c r="G518" s="176" t="s">
        <v>688</v>
      </c>
      <c r="H518" s="176" t="s">
        <v>689</v>
      </c>
      <c r="I518" s="176" t="s">
        <v>690</v>
      </c>
      <c r="J518" s="176" t="s">
        <v>691</v>
      </c>
      <c r="K518" s="176" t="s">
        <v>692</v>
      </c>
      <c r="L518" s="106"/>
      <c r="N518" s="270"/>
    </row>
    <row r="519" spans="1:14" s="52" customFormat="1" ht="12.2" customHeight="1" x14ac:dyDescent="0.2">
      <c r="A519" s="177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0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376694.05</v>
      </c>
      <c r="G521" s="18">
        <v>197659.17</v>
      </c>
      <c r="H521" s="18">
        <v>1872.31</v>
      </c>
      <c r="I521" s="18">
        <v>2208.81</v>
      </c>
      <c r="J521" s="18">
        <v>1542.34</v>
      </c>
      <c r="K521" s="18">
        <v>0</v>
      </c>
      <c r="L521" s="88">
        <f>SUM(F521:K521)</f>
        <v>579976.68000000005</v>
      </c>
      <c r="N521" s="270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239536.13</v>
      </c>
      <c r="G522" s="18">
        <v>151928.60999999999</v>
      </c>
      <c r="H522" s="18">
        <v>325346.46000000002</v>
      </c>
      <c r="I522" s="18">
        <v>1315.64</v>
      </c>
      <c r="J522" s="18">
        <v>1284.6600000000001</v>
      </c>
      <c r="K522" s="18">
        <v>0</v>
      </c>
      <c r="L522" s="88">
        <f>SUM(F522:K522)</f>
        <v>719411.5</v>
      </c>
      <c r="N522" s="270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240832.59</v>
      </c>
      <c r="G523" s="18">
        <v>147833.26</v>
      </c>
      <c r="H523" s="18">
        <v>312857.05</v>
      </c>
      <c r="I523" s="18">
        <v>834.42</v>
      </c>
      <c r="J523" s="18">
        <v>0</v>
      </c>
      <c r="K523" s="18">
        <v>0</v>
      </c>
      <c r="L523" s="88">
        <f>SUM(F523:K523)</f>
        <v>702357.32</v>
      </c>
      <c r="N523" s="270"/>
    </row>
    <row r="524" spans="1:14" s="52" customFormat="1" ht="12.2" customHeight="1" thickTop="1" x14ac:dyDescent="0.2">
      <c r="A524" s="139" t="s">
        <v>63</v>
      </c>
      <c r="B524" s="107">
        <v>21</v>
      </c>
      <c r="C524" s="194">
        <v>4</v>
      </c>
      <c r="D524" s="195" t="s">
        <v>430</v>
      </c>
      <c r="E524" s="194"/>
      <c r="F524" s="108">
        <f>SUM(F521:F523)</f>
        <v>857062.7699999999</v>
      </c>
      <c r="G524" s="108">
        <f t="shared" ref="G524:L524" si="36">SUM(G521:G523)</f>
        <v>497421.04000000004</v>
      </c>
      <c r="H524" s="108">
        <f t="shared" si="36"/>
        <v>640075.82000000007</v>
      </c>
      <c r="I524" s="108">
        <f t="shared" si="36"/>
        <v>4358.87</v>
      </c>
      <c r="J524" s="108">
        <f t="shared" si="36"/>
        <v>2827</v>
      </c>
      <c r="K524" s="108">
        <f t="shared" si="36"/>
        <v>0</v>
      </c>
      <c r="L524" s="89">
        <f t="shared" si="36"/>
        <v>2001745.5</v>
      </c>
      <c r="N524" s="270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0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95342.34</v>
      </c>
      <c r="G526" s="18">
        <v>46548.75</v>
      </c>
      <c r="H526" s="18">
        <v>91951.26</v>
      </c>
      <c r="I526" s="18">
        <v>57.54</v>
      </c>
      <c r="J526" s="18">
        <f>27.58-0.01</f>
        <v>27.569999999999997</v>
      </c>
      <c r="K526" s="18">
        <v>0</v>
      </c>
      <c r="L526" s="88">
        <f>SUM(F526:K526)</f>
        <v>233927.46</v>
      </c>
      <c r="M526" s="8"/>
      <c r="N526" s="271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90987.02</v>
      </c>
      <c r="G527" s="18">
        <v>19903.330000000002</v>
      </c>
      <c r="H527" s="18">
        <v>55225.95</v>
      </c>
      <c r="I527" s="18">
        <v>47.95</v>
      </c>
      <c r="J527" s="18">
        <f>22.98+0.59</f>
        <v>23.57</v>
      </c>
      <c r="K527" s="18">
        <v>0</v>
      </c>
      <c r="L527" s="88">
        <f>SUM(F527:K527)</f>
        <v>166187.82</v>
      </c>
      <c r="M527" s="8"/>
      <c r="N527" s="271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96444.64</v>
      </c>
      <c r="G528" s="18">
        <v>20220.47</v>
      </c>
      <c r="H528" s="18">
        <v>38923.839999999997</v>
      </c>
      <c r="I528" s="18">
        <v>46.73</v>
      </c>
      <c r="J528" s="18">
        <f>22.4-0.01</f>
        <v>22.389999999999997</v>
      </c>
      <c r="K528" s="18">
        <v>0</v>
      </c>
      <c r="L528" s="88">
        <f>SUM(F528:K528)</f>
        <v>155658.07000000004</v>
      </c>
      <c r="M528" s="8"/>
      <c r="N528" s="271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7" t="s">
        <v>430</v>
      </c>
      <c r="E529" s="107"/>
      <c r="F529" s="89">
        <f>SUM(F526:F528)</f>
        <v>282774</v>
      </c>
      <c r="G529" s="89">
        <f t="shared" ref="G529:L529" si="37">SUM(G526:G528)</f>
        <v>86672.55</v>
      </c>
      <c r="H529" s="89">
        <f t="shared" si="37"/>
        <v>186101.05</v>
      </c>
      <c r="I529" s="89">
        <f t="shared" si="37"/>
        <v>152.22</v>
      </c>
      <c r="J529" s="89">
        <f t="shared" si="37"/>
        <v>73.53</v>
      </c>
      <c r="K529" s="89">
        <f t="shared" si="37"/>
        <v>0</v>
      </c>
      <c r="L529" s="89">
        <f t="shared" si="37"/>
        <v>555773.35000000009</v>
      </c>
      <c r="M529" s="8"/>
      <c r="N529" s="271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1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72926.490000000005</v>
      </c>
      <c r="G531" s="18">
        <v>39469.120000000003</v>
      </c>
      <c r="H531" s="18">
        <v>8239.08</v>
      </c>
      <c r="I531" s="18">
        <v>472.76</v>
      </c>
      <c r="J531" s="18">
        <v>81.72</v>
      </c>
      <c r="K531" s="18">
        <v>67.349999999999994</v>
      </c>
      <c r="L531" s="88">
        <f>SUM(F531:K531)</f>
        <v>121256.52000000002</v>
      </c>
      <c r="M531" s="8"/>
      <c r="N531" s="271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60742.98</v>
      </c>
      <c r="G532" s="18">
        <v>32875.19</v>
      </c>
      <c r="H532" s="18">
        <v>6862.61</v>
      </c>
      <c r="I532" s="18">
        <v>393.77</v>
      </c>
      <c r="J532" s="18">
        <v>68.069999999999993</v>
      </c>
      <c r="K532" s="18">
        <v>56.1</v>
      </c>
      <c r="L532" s="88">
        <f>SUM(F532:K532)</f>
        <v>100998.72000000003</v>
      </c>
      <c r="M532" s="8"/>
      <c r="N532" s="271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59077.85</v>
      </c>
      <c r="G533" s="18">
        <v>31973.99</v>
      </c>
      <c r="H533" s="18">
        <v>6674.49</v>
      </c>
      <c r="I533" s="18">
        <v>382.98</v>
      </c>
      <c r="J533" s="18">
        <v>66.2</v>
      </c>
      <c r="K533" s="18">
        <v>54.56</v>
      </c>
      <c r="L533" s="88">
        <f>SUM(F533:K533)</f>
        <v>98230.069999999992</v>
      </c>
      <c r="M533" s="8"/>
      <c r="N533" s="271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7" t="s">
        <v>430</v>
      </c>
      <c r="E534" s="107"/>
      <c r="F534" s="89">
        <f>SUM(F531:F533)</f>
        <v>192747.32</v>
      </c>
      <c r="G534" s="89">
        <f t="shared" ref="G534:L534" si="38">SUM(G531:G533)</f>
        <v>104318.3</v>
      </c>
      <c r="H534" s="89">
        <f t="shared" si="38"/>
        <v>21776.18</v>
      </c>
      <c r="I534" s="89">
        <f t="shared" si="38"/>
        <v>1249.51</v>
      </c>
      <c r="J534" s="89">
        <f t="shared" si="38"/>
        <v>215.99</v>
      </c>
      <c r="K534" s="89">
        <f t="shared" si="38"/>
        <v>178.01</v>
      </c>
      <c r="L534" s="89">
        <f t="shared" si="38"/>
        <v>320485.31000000006</v>
      </c>
      <c r="M534" s="8"/>
      <c r="N534" s="271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3" t="s">
        <v>286</v>
      </c>
      <c r="G535" s="193" t="s">
        <v>286</v>
      </c>
      <c r="H535" s="193" t="s">
        <v>286</v>
      </c>
      <c r="I535" s="193" t="s">
        <v>286</v>
      </c>
      <c r="J535" s="193" t="s">
        <v>286</v>
      </c>
      <c r="K535" s="193" t="s">
        <v>286</v>
      </c>
      <c r="L535" s="193" t="s">
        <v>286</v>
      </c>
      <c r="M535" s="8"/>
      <c r="N535" s="271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1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1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1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7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1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1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0</v>
      </c>
      <c r="G541" s="18">
        <v>0</v>
      </c>
      <c r="H541" s="18">
        <v>108111.6</v>
      </c>
      <c r="I541" s="18">
        <v>0</v>
      </c>
      <c r="J541" s="18">
        <v>0</v>
      </c>
      <c r="K541" s="18">
        <v>0</v>
      </c>
      <c r="L541" s="88">
        <f>SUM(F541:K541)</f>
        <v>108111.6</v>
      </c>
      <c r="M541" s="8"/>
      <c r="N541" s="271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0</v>
      </c>
      <c r="G542" s="18">
        <v>0</v>
      </c>
      <c r="H542" s="18">
        <v>51128.98</v>
      </c>
      <c r="I542" s="18">
        <v>0</v>
      </c>
      <c r="J542" s="18">
        <v>0</v>
      </c>
      <c r="K542" s="18">
        <v>0</v>
      </c>
      <c r="L542" s="88">
        <f>SUM(F542:K542)</f>
        <v>51128.98</v>
      </c>
      <c r="M542" s="8"/>
      <c r="N542" s="271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0</v>
      </c>
      <c r="G543" s="18">
        <v>0</v>
      </c>
      <c r="H543" s="18">
        <v>42468.95</v>
      </c>
      <c r="I543" s="18">
        <v>0</v>
      </c>
      <c r="J543" s="18">
        <v>0</v>
      </c>
      <c r="K543" s="18">
        <v>0</v>
      </c>
      <c r="L543" s="88">
        <f>SUM(F543:K543)</f>
        <v>42468.95</v>
      </c>
      <c r="M543" s="8"/>
      <c r="N543" s="271"/>
    </row>
    <row r="544" spans="1:14" s="3" customFormat="1" ht="12.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430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201709.53000000003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201709.53000000003</v>
      </c>
      <c r="M544" s="8"/>
      <c r="N544" s="271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7" t="s">
        <v>430</v>
      </c>
      <c r="E545" s="107"/>
      <c r="F545" s="89">
        <f>F524+F529+F534+F539+F544</f>
        <v>1332584.0900000001</v>
      </c>
      <c r="G545" s="89">
        <f t="shared" ref="G545:L545" si="41">G524+G529+G534+G539+G544</f>
        <v>688411.89000000013</v>
      </c>
      <c r="H545" s="89">
        <f t="shared" si="41"/>
        <v>1049662.58</v>
      </c>
      <c r="I545" s="89">
        <f t="shared" si="41"/>
        <v>5760.6</v>
      </c>
      <c r="J545" s="89">
        <f t="shared" si="41"/>
        <v>3116.5200000000004</v>
      </c>
      <c r="K545" s="89">
        <f t="shared" si="41"/>
        <v>178.01</v>
      </c>
      <c r="L545" s="89">
        <f t="shared" si="41"/>
        <v>3079713.6900000004</v>
      </c>
      <c r="M545" s="8"/>
      <c r="N545" s="271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1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1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579976.68000000005</v>
      </c>
      <c r="G549" s="87">
        <f>L526</f>
        <v>233927.46</v>
      </c>
      <c r="H549" s="87">
        <f>L531</f>
        <v>121256.52000000002</v>
      </c>
      <c r="I549" s="87">
        <f>L536</f>
        <v>0</v>
      </c>
      <c r="J549" s="87">
        <f>L541</f>
        <v>108111.6</v>
      </c>
      <c r="K549" s="87">
        <f>SUM(F549:J549)</f>
        <v>1043272.26</v>
      </c>
      <c r="L549" s="24" t="s">
        <v>286</v>
      </c>
      <c r="M549" s="8"/>
      <c r="N549" s="271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719411.5</v>
      </c>
      <c r="G550" s="87">
        <f>L527</f>
        <v>166187.82</v>
      </c>
      <c r="H550" s="87">
        <f>L532</f>
        <v>100998.72000000003</v>
      </c>
      <c r="I550" s="87">
        <f>L537</f>
        <v>0</v>
      </c>
      <c r="J550" s="87">
        <f>L542</f>
        <v>51128.98</v>
      </c>
      <c r="K550" s="87">
        <f>SUM(F550:J550)</f>
        <v>1037727.02</v>
      </c>
      <c r="L550" s="24" t="s">
        <v>286</v>
      </c>
      <c r="M550" s="8"/>
      <c r="N550" s="271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702357.32</v>
      </c>
      <c r="G551" s="87">
        <f>L528</f>
        <v>155658.07000000004</v>
      </c>
      <c r="H551" s="87">
        <f>L533</f>
        <v>98230.069999999992</v>
      </c>
      <c r="I551" s="87">
        <f>L538</f>
        <v>0</v>
      </c>
      <c r="J551" s="87">
        <f>L543</f>
        <v>42468.95</v>
      </c>
      <c r="K551" s="87">
        <f>SUM(F551:J551)</f>
        <v>998714.40999999992</v>
      </c>
      <c r="L551" s="24" t="s">
        <v>286</v>
      </c>
      <c r="M551" s="8"/>
      <c r="N551" s="271"/>
    </row>
    <row r="552" spans="1:14" s="3" customFormat="1" ht="12.2" customHeight="1" thickTop="1" x14ac:dyDescent="0.15">
      <c r="A552" s="171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2001745.5</v>
      </c>
      <c r="G552" s="89">
        <f t="shared" si="42"/>
        <v>555773.35000000009</v>
      </c>
      <c r="H552" s="89">
        <f t="shared" si="42"/>
        <v>320485.31000000006</v>
      </c>
      <c r="I552" s="89">
        <f t="shared" si="42"/>
        <v>0</v>
      </c>
      <c r="J552" s="89">
        <f t="shared" si="42"/>
        <v>201709.53000000003</v>
      </c>
      <c r="K552" s="89">
        <f t="shared" si="42"/>
        <v>3079713.69</v>
      </c>
      <c r="L552" s="24"/>
      <c r="M552" s="8"/>
      <c r="N552" s="271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.2" customHeight="1" x14ac:dyDescent="0.15">
      <c r="B554" s="105"/>
      <c r="C554" s="115"/>
      <c r="D554" s="115"/>
      <c r="E554" s="115"/>
      <c r="F554" s="176" t="s">
        <v>687</v>
      </c>
      <c r="G554" s="176" t="s">
        <v>688</v>
      </c>
      <c r="H554" s="176" t="s">
        <v>689</v>
      </c>
      <c r="I554" s="176" t="s">
        <v>690</v>
      </c>
      <c r="J554" s="176" t="s">
        <v>691</v>
      </c>
      <c r="K554" s="176" t="s">
        <v>692</v>
      </c>
      <c r="L554" s="106"/>
      <c r="M554" s="8"/>
      <c r="N554" s="271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1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1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1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1"/>
    </row>
    <row r="560" spans="1:14" s="3" customFormat="1" ht="12.2" customHeight="1" thickTop="1" x14ac:dyDescent="0.15">
      <c r="A560" s="139" t="s">
        <v>63</v>
      </c>
      <c r="B560" s="107">
        <v>22</v>
      </c>
      <c r="C560" s="194">
        <v>4</v>
      </c>
      <c r="D560" s="195" t="s">
        <v>430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1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1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1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1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5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1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1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71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1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1"/>
    </row>
    <row r="570" spans="1:14" s="3" customFormat="1" ht="12.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430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7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1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1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1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1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0</v>
      </c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1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1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0</v>
      </c>
      <c r="G579" s="18">
        <v>81504.08</v>
      </c>
      <c r="H579" s="18">
        <v>0</v>
      </c>
      <c r="I579" s="87">
        <f t="shared" si="47"/>
        <v>81504.08</v>
      </c>
      <c r="J579" s="24" t="s">
        <v>286</v>
      </c>
      <c r="K579" s="24" t="s">
        <v>286</v>
      </c>
      <c r="L579" s="24" t="s">
        <v>286</v>
      </c>
      <c r="M579" s="8"/>
      <c r="N579" s="271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1"/>
    </row>
    <row r="581" spans="1:14" s="3" customFormat="1" ht="12.2" customHeight="1" x14ac:dyDescent="0.15">
      <c r="A581" s="145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0</v>
      </c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1"/>
    </row>
    <row r="582" spans="1:14" s="3" customFormat="1" ht="12.2" customHeight="1" x14ac:dyDescent="0.15">
      <c r="A582" s="145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0</v>
      </c>
      <c r="G582" s="18">
        <v>243282.39</v>
      </c>
      <c r="H582" s="18">
        <v>312857.05</v>
      </c>
      <c r="I582" s="87">
        <f t="shared" si="47"/>
        <v>556139.43999999994</v>
      </c>
      <c r="J582" s="24" t="s">
        <v>286</v>
      </c>
      <c r="K582" s="24" t="s">
        <v>286</v>
      </c>
      <c r="L582" s="24" t="s">
        <v>286</v>
      </c>
      <c r="M582" s="8"/>
      <c r="N582" s="271"/>
    </row>
    <row r="583" spans="1:14" s="3" customFormat="1" ht="12.2" customHeight="1" x14ac:dyDescent="0.15">
      <c r="A583" s="145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1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>
        <v>0</v>
      </c>
      <c r="G584" s="18">
        <v>0</v>
      </c>
      <c r="H584" s="18">
        <v>3603.84</v>
      </c>
      <c r="I584" s="87">
        <f t="shared" si="47"/>
        <v>3603.84</v>
      </c>
      <c r="J584" s="24" t="s">
        <v>286</v>
      </c>
      <c r="K584" s="24" t="s">
        <v>286</v>
      </c>
      <c r="L584" s="24" t="s">
        <v>286</v>
      </c>
      <c r="M584" s="8"/>
      <c r="N584" s="271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1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>
        <v>0</v>
      </c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1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1"/>
    </row>
    <row r="588" spans="1:14" s="3" customFormat="1" ht="12.2" customHeight="1" x14ac:dyDescent="0.15">
      <c r="A588" s="172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.2" customHeight="1" x14ac:dyDescent="0.15">
      <c r="A589" s="146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151735.35</v>
      </c>
      <c r="I591" s="18">
        <v>144679.07</v>
      </c>
      <c r="J591" s="18">
        <v>144541.67000000001</v>
      </c>
      <c r="K591" s="104">
        <f t="shared" ref="K591:K597" si="48">SUM(H591:J591)</f>
        <v>440956.09000000008</v>
      </c>
      <c r="L591" s="24" t="s">
        <v>286</v>
      </c>
      <c r="M591" s="8"/>
      <c r="N591" s="271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108111.6</v>
      </c>
      <c r="I592" s="18">
        <v>51128.98</v>
      </c>
      <c r="J592" s="18">
        <v>42468.95</v>
      </c>
      <c r="K592" s="104">
        <f t="shared" si="48"/>
        <v>201709.53000000003</v>
      </c>
      <c r="L592" s="24" t="s">
        <v>286</v>
      </c>
      <c r="M592" s="8"/>
      <c r="N592" s="271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2908.5</v>
      </c>
      <c r="K593" s="104">
        <f t="shared" si="48"/>
        <v>2908.5</v>
      </c>
      <c r="L593" s="24" t="s">
        <v>286</v>
      </c>
      <c r="M593" s="8"/>
      <c r="N593" s="271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0</v>
      </c>
      <c r="I594" s="18">
        <v>17778.75</v>
      </c>
      <c r="J594" s="18">
        <v>48353.72</v>
      </c>
      <c r="K594" s="104">
        <f t="shared" si="48"/>
        <v>66132.47</v>
      </c>
      <c r="L594" s="24" t="s">
        <v>286</v>
      </c>
      <c r="M594" s="8"/>
      <c r="N594" s="271"/>
    </row>
    <row r="595" spans="1:14" s="3" customFormat="1" ht="12.2" customHeight="1" x14ac:dyDescent="0.15">
      <c r="A595" s="170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0</v>
      </c>
      <c r="I595" s="18">
        <v>800</v>
      </c>
      <c r="J595" s="18">
        <v>165</v>
      </c>
      <c r="K595" s="104">
        <f t="shared" si="48"/>
        <v>965</v>
      </c>
      <c r="L595" s="24" t="s">
        <v>286</v>
      </c>
      <c r="M595" s="8"/>
      <c r="N595" s="271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286</v>
      </c>
      <c r="M596" s="8"/>
      <c r="N596" s="271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286</v>
      </c>
      <c r="M597" s="8"/>
      <c r="N597" s="271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7">
        <v>2700</v>
      </c>
      <c r="G598" s="148" t="s">
        <v>97</v>
      </c>
      <c r="H598" s="108">
        <f>SUM(H591:H597)</f>
        <v>259846.95</v>
      </c>
      <c r="I598" s="108">
        <f>SUM(I591:I597)</f>
        <v>214386.80000000002</v>
      </c>
      <c r="J598" s="108">
        <f>SUM(J591:J597)</f>
        <v>238437.84</v>
      </c>
      <c r="K598" s="108">
        <f>SUM(K591:K597)</f>
        <v>712671.59000000008</v>
      </c>
      <c r="L598" s="24" t="s">
        <v>286</v>
      </c>
      <c r="M598" s="8"/>
      <c r="N598" s="271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286</v>
      </c>
      <c r="M602" s="8"/>
      <c r="N602" s="271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286</v>
      </c>
      <c r="M603" s="8"/>
      <c r="N603" s="271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9041.84+1542.34+372.32</f>
        <v>10956.5</v>
      </c>
      <c r="I604" s="18">
        <f>45473.46+1284.66+372.32</f>
        <v>47130.44</v>
      </c>
      <c r="J604" s="18">
        <f>28287.29+372.32</f>
        <v>28659.61</v>
      </c>
      <c r="K604" s="104">
        <f>SUM(H604:J604)</f>
        <v>86746.55</v>
      </c>
      <c r="L604" s="24" t="s">
        <v>286</v>
      </c>
      <c r="M604" s="8"/>
      <c r="N604" s="271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8" t="s">
        <v>474</v>
      </c>
      <c r="G605" s="147">
        <v>700</v>
      </c>
      <c r="H605" s="108">
        <f>SUM(H602:H604)</f>
        <v>10956.5</v>
      </c>
      <c r="I605" s="108">
        <f>SUM(I602:I604)</f>
        <v>47130.44</v>
      </c>
      <c r="J605" s="108">
        <f>SUM(J602:J604)</f>
        <v>28659.61</v>
      </c>
      <c r="K605" s="108">
        <f>SUM(K602:K604)</f>
        <v>86746.55</v>
      </c>
      <c r="L605" s="24" t="s">
        <v>286</v>
      </c>
      <c r="M605" s="8"/>
      <c r="N605" s="271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.2" customHeight="1" x14ac:dyDescent="0.15">
      <c r="B609" s="105"/>
      <c r="C609" s="105"/>
      <c r="D609" s="105"/>
      <c r="E609" s="105"/>
      <c r="F609" s="176" t="s">
        <v>687</v>
      </c>
      <c r="G609" s="176" t="s">
        <v>688</v>
      </c>
      <c r="H609" s="176" t="s">
        <v>689</v>
      </c>
      <c r="I609" s="176" t="s">
        <v>690</v>
      </c>
      <c r="J609" s="176" t="s">
        <v>691</v>
      </c>
      <c r="K609" s="176" t="s">
        <v>692</v>
      </c>
      <c r="L609" s="88"/>
      <c r="M609" s="8"/>
      <c r="N609" s="271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10797.93</v>
      </c>
      <c r="G611" s="18">
        <v>1775.52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12573.45</v>
      </c>
      <c r="M611" s="8"/>
      <c r="N611" s="271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4995.9799999999996</v>
      </c>
      <c r="G612" s="18">
        <v>1023.54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6019.5199999999995</v>
      </c>
      <c r="M612" s="8"/>
      <c r="N612" s="271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5180.93</v>
      </c>
      <c r="G613" s="18">
        <v>791.9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5972.83</v>
      </c>
      <c r="M613" s="8"/>
      <c r="N613" s="271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20974.84</v>
      </c>
      <c r="G614" s="108">
        <f t="shared" si="49"/>
        <v>3590.96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24565.800000000003</v>
      </c>
      <c r="M614" s="8"/>
      <c r="N614" s="271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49" t="s">
        <v>53</v>
      </c>
      <c r="G616" s="150"/>
      <c r="H616" s="150"/>
      <c r="I616" s="149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1515163.51</v>
      </c>
      <c r="H617" s="109">
        <f>SUM(F52)</f>
        <v>1515163.51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52435.9</v>
      </c>
      <c r="H618" s="109">
        <f>SUM(G52)</f>
        <v>52435.9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136518.82</v>
      </c>
      <c r="H619" s="109">
        <f>SUM(H52)</f>
        <v>136518.82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612644.88</v>
      </c>
      <c r="H621" s="109">
        <f>SUM(J52)</f>
        <v>612644.88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1424279.4</v>
      </c>
      <c r="H622" s="109">
        <f>F476</f>
        <v>1424279.4000000022</v>
      </c>
      <c r="I622" s="121" t="s">
        <v>101</v>
      </c>
      <c r="J622" s="109">
        <f t="shared" ref="J622:J655" si="50">G622-H622</f>
        <v>-2.3283064365386963E-9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9977.9199999999983</v>
      </c>
      <c r="H623" s="109">
        <f>G476</f>
        <v>9977.9199999999837</v>
      </c>
      <c r="I623" s="121" t="s">
        <v>102</v>
      </c>
      <c r="J623" s="109">
        <f t="shared" si="50"/>
        <v>1.4551915228366852E-11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2020.76</v>
      </c>
      <c r="H624" s="109">
        <f>H476</f>
        <v>2020.7599999998929</v>
      </c>
      <c r="I624" s="121" t="s">
        <v>103</v>
      </c>
      <c r="J624" s="109">
        <f t="shared" si="50"/>
        <v>1.070930011337623E-10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612644.88</v>
      </c>
      <c r="H626" s="109">
        <f>J476</f>
        <v>612644.88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16817052.59</v>
      </c>
      <c r="H627" s="104">
        <f>SUM(F468)</f>
        <v>16817052.59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388208.69</v>
      </c>
      <c r="H628" s="104">
        <f>SUM(G468)</f>
        <v>388208.69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646624.17999999993</v>
      </c>
      <c r="H629" s="104">
        <f>SUM(H468)</f>
        <v>646624.17999999993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94953.15</v>
      </c>
      <c r="H631" s="104">
        <f>SUM(J468)</f>
        <v>94953.15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16802407.829999998</v>
      </c>
      <c r="H632" s="104">
        <f>SUM(F472)</f>
        <v>16802407.829999998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646220.02999999991</v>
      </c>
      <c r="H633" s="104">
        <f>SUM(H472)</f>
        <v>646220.03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8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394188.07</v>
      </c>
      <c r="H635" s="104">
        <f>SUM(G472)</f>
        <v>394188.07</v>
      </c>
      <c r="I635" s="140" t="s">
        <v>114</v>
      </c>
      <c r="J635" s="109">
        <f t="shared" si="50"/>
        <v>0</v>
      </c>
      <c r="K635" s="85"/>
      <c r="L635" s="88"/>
      <c r="M635" s="167"/>
    </row>
    <row r="636" spans="1:13" s="168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7"/>
    </row>
    <row r="637" spans="1:13" s="3" customFormat="1" ht="12.2" customHeight="1" x14ac:dyDescent="0.15">
      <c r="A637" s="160"/>
      <c r="B637" s="161"/>
      <c r="C637" s="161"/>
      <c r="D637" s="161"/>
      <c r="E637" s="161"/>
      <c r="F637" s="162" t="s">
        <v>475</v>
      </c>
      <c r="G637" s="150">
        <f>SUM(L408)</f>
        <v>94953.150000000009</v>
      </c>
      <c r="H637" s="163">
        <f>SUM(J468)</f>
        <v>94953.15</v>
      </c>
      <c r="I637" s="164" t="s">
        <v>110</v>
      </c>
      <c r="J637" s="150">
        <f t="shared" si="50"/>
        <v>0</v>
      </c>
      <c r="K637" s="165"/>
      <c r="L637" s="166"/>
      <c r="M637" s="8"/>
    </row>
    <row r="638" spans="1:13" s="3" customFormat="1" ht="12.2" customHeight="1" x14ac:dyDescent="0.15">
      <c r="A638" s="160"/>
      <c r="B638" s="161"/>
      <c r="C638" s="161"/>
      <c r="D638" s="161"/>
      <c r="E638" s="161"/>
      <c r="F638" s="162" t="s">
        <v>476</v>
      </c>
      <c r="G638" s="150">
        <f>SUM(L434)</f>
        <v>0</v>
      </c>
      <c r="H638" s="163">
        <f>SUM(J472)</f>
        <v>0</v>
      </c>
      <c r="I638" s="164" t="s">
        <v>117</v>
      </c>
      <c r="J638" s="150">
        <f t="shared" si="50"/>
        <v>0</v>
      </c>
      <c r="K638" s="165"/>
      <c r="L638" s="166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612644.88</v>
      </c>
      <c r="H639" s="104">
        <f>SUM(F461)</f>
        <v>612644.88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612644.88</v>
      </c>
      <c r="H642" s="104">
        <f>SUM(I461)</f>
        <v>612644.88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9953.15</v>
      </c>
      <c r="H644" s="104">
        <f>H408</f>
        <v>9953.15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85000</v>
      </c>
      <c r="H645" s="104">
        <f>G408</f>
        <v>85000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94953.15</v>
      </c>
      <c r="H646" s="104">
        <f>L408</f>
        <v>94953.150000000009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712671.59000000008</v>
      </c>
      <c r="H647" s="104">
        <f>L208+L226+L244</f>
        <v>712671.59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86746.55</v>
      </c>
      <c r="H648" s="104">
        <f>(J257+J338)-(J255+J336)</f>
        <v>86746.549999999988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259846.95</v>
      </c>
      <c r="H649" s="104">
        <f>H598</f>
        <v>259846.95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214386.8</v>
      </c>
      <c r="H650" s="104">
        <f>I598</f>
        <v>214386.80000000002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238437.84</v>
      </c>
      <c r="H651" s="104">
        <f>J598</f>
        <v>238437.84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85000</v>
      </c>
      <c r="H655" s="104">
        <f>K266+K347</f>
        <v>85000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3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4904222.84</v>
      </c>
      <c r="G660" s="19">
        <f>(L229+L309+L359)</f>
        <v>4919987.7200000007</v>
      </c>
      <c r="H660" s="19">
        <f>(L247+L328+L360)</f>
        <v>5654899.7399999993</v>
      </c>
      <c r="I660" s="19">
        <f>SUM(F660:H660)</f>
        <v>15479110.300000001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60915.777111941767</v>
      </c>
      <c r="G661" s="19">
        <f>(L359/IF(SUM(L358:L360)=0,1,SUM(L358:L360))*(SUM(G97:G110)))</f>
        <v>50763.146911914409</v>
      </c>
      <c r="H661" s="19">
        <f>(L360/IF(SUM(L358:L360)=0,1,SUM(L358:L360))*(SUM(G97:G110)))</f>
        <v>49473.92597614383</v>
      </c>
      <c r="I661" s="19">
        <f>SUM(F661:H661)</f>
        <v>161152.85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259846.95</v>
      </c>
      <c r="G662" s="19">
        <f>(L226+L306)-(J226+J306)</f>
        <v>214386.8</v>
      </c>
      <c r="H662" s="19">
        <f>(L244+L325)-(J244+J325)</f>
        <v>238437.84</v>
      </c>
      <c r="I662" s="19">
        <f>SUM(F662:H662)</f>
        <v>712671.59</v>
      </c>
      <c r="J662"/>
      <c r="K662" s="13"/>
      <c r="L662" s="13"/>
      <c r="M662" s="8"/>
    </row>
    <row r="663" spans="1:13" s="3" customFormat="1" ht="12.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23529.95</v>
      </c>
      <c r="G663" s="198">
        <f>SUM(G575:G587)+SUM(I602:I604)+L612</f>
        <v>377936.43000000005</v>
      </c>
      <c r="H663" s="198">
        <f>SUM(H575:H587)+SUM(J602:J604)+L613</f>
        <v>351093.33</v>
      </c>
      <c r="I663" s="19">
        <f>SUM(F663:H663)</f>
        <v>752559.71000000008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4559930.1628880585</v>
      </c>
      <c r="G664" s="19">
        <f>G660-SUM(G661:G663)</f>
        <v>4276901.3430880867</v>
      </c>
      <c r="H664" s="19">
        <f>H660-SUM(H661:H663)</f>
        <v>5015894.6440238552</v>
      </c>
      <c r="I664" s="19">
        <f>I660-SUM(I661:I663)</f>
        <v>13852726.15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6">
        <v>371.75</v>
      </c>
      <c r="G665" s="247">
        <v>309.64</v>
      </c>
      <c r="H665" s="247">
        <v>301.20999999999998</v>
      </c>
      <c r="I665" s="19">
        <f>SUM(F665:H665)</f>
        <v>982.59999999999991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12266.12</v>
      </c>
      <c r="G667" s="19">
        <f>ROUND(G664/G665,2)</f>
        <v>13812.5</v>
      </c>
      <c r="H667" s="19">
        <f>ROUND(H664/H665,2)</f>
        <v>16652.48</v>
      </c>
      <c r="I667" s="19">
        <f>ROUND(I664/I665,2)</f>
        <v>14098.03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3.72</v>
      </c>
      <c r="I670" s="19">
        <f>SUM(F670:H670)</f>
        <v>3.72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12266.12</v>
      </c>
      <c r="G672" s="19">
        <f>ROUND((G664+G669)/(G665+G670),2)</f>
        <v>13812.5</v>
      </c>
      <c r="H672" s="19">
        <f>ROUND((H664+H669)/(H665+H670),2)</f>
        <v>16449.330000000002</v>
      </c>
      <c r="I672" s="19">
        <f>ROUND((I664+I669)/(I665+I670),2)</f>
        <v>14044.86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779</v>
      </c>
      <c r="B1" s="231" t="str">
        <f>'DOE25'!A2</f>
        <v>MASCENIC REGIONAL SCHOOL DISTRICT</v>
      </c>
      <c r="C1" s="237" t="s">
        <v>833</v>
      </c>
    </row>
    <row r="2" spans="1:3" x14ac:dyDescent="0.2">
      <c r="A2" s="232"/>
      <c r="B2" s="231"/>
    </row>
    <row r="3" spans="1:3" x14ac:dyDescent="0.2">
      <c r="A3" s="277" t="s">
        <v>778</v>
      </c>
      <c r="B3" s="277"/>
      <c r="C3" s="277"/>
    </row>
    <row r="4" spans="1:3" x14ac:dyDescent="0.2">
      <c r="A4" s="235"/>
      <c r="B4" s="236" t="str">
        <f>'DOE25'!H1</f>
        <v>DOE 25  2017-2018</v>
      </c>
      <c r="C4" s="235"/>
    </row>
    <row r="5" spans="1:3" x14ac:dyDescent="0.2">
      <c r="A5" s="232"/>
      <c r="B5" s="231"/>
    </row>
    <row r="6" spans="1:3" x14ac:dyDescent="0.2">
      <c r="A6" s="226"/>
      <c r="B6" s="276" t="s">
        <v>777</v>
      </c>
      <c r="C6" s="276"/>
    </row>
    <row r="7" spans="1:3" x14ac:dyDescent="0.2">
      <c r="A7" s="238" t="s">
        <v>780</v>
      </c>
      <c r="B7" s="274" t="s">
        <v>776</v>
      </c>
      <c r="C7" s="275"/>
    </row>
    <row r="8" spans="1:3" x14ac:dyDescent="0.2">
      <c r="B8" s="227" t="s">
        <v>54</v>
      </c>
      <c r="C8" s="227" t="s">
        <v>770</v>
      </c>
    </row>
    <row r="9" spans="1:3" x14ac:dyDescent="0.2">
      <c r="A9" s="33" t="s">
        <v>771</v>
      </c>
      <c r="B9" s="228">
        <f>'DOE25'!F197+'DOE25'!F215+'DOE25'!F233+'DOE25'!F276+'DOE25'!F295+'DOE25'!F314</f>
        <v>4185054.7600000007</v>
      </c>
      <c r="C9" s="228">
        <f>'DOE25'!G197+'DOE25'!G215+'DOE25'!G233+'DOE25'!G276+'DOE25'!G295+'DOE25'!G314</f>
        <v>2285972.2400000002</v>
      </c>
    </row>
    <row r="10" spans="1:3" x14ac:dyDescent="0.2">
      <c r="A10" t="s">
        <v>773</v>
      </c>
      <c r="B10" s="239">
        <v>3807443.6</v>
      </c>
      <c r="C10" s="239">
        <v>2206180.63</v>
      </c>
    </row>
    <row r="11" spans="1:3" x14ac:dyDescent="0.2">
      <c r="A11" t="s">
        <v>774</v>
      </c>
      <c r="B11" s="239">
        <v>215180.87</v>
      </c>
      <c r="C11" s="239">
        <v>56152.98</v>
      </c>
    </row>
    <row r="12" spans="1:3" x14ac:dyDescent="0.2">
      <c r="A12" t="s">
        <v>775</v>
      </c>
      <c r="B12" s="239">
        <f>157843.94+4659.3-72.95</f>
        <v>162430.28999999998</v>
      </c>
      <c r="C12" s="239">
        <v>23638.63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4185054.7600000002</v>
      </c>
      <c r="C13" s="230">
        <f>SUM(C10:C12)</f>
        <v>2285972.2399999998</v>
      </c>
    </row>
    <row r="14" spans="1:3" x14ac:dyDescent="0.2">
      <c r="B14" s="229"/>
      <c r="C14" s="229"/>
    </row>
    <row r="15" spans="1:3" x14ac:dyDescent="0.2">
      <c r="B15" s="276" t="s">
        <v>777</v>
      </c>
      <c r="C15" s="276"/>
    </row>
    <row r="16" spans="1:3" x14ac:dyDescent="0.2">
      <c r="A16" s="238" t="s">
        <v>781</v>
      </c>
      <c r="B16" s="274" t="s">
        <v>701</v>
      </c>
      <c r="C16" s="275"/>
    </row>
    <row r="17" spans="1:3" x14ac:dyDescent="0.2">
      <c r="B17" s="227" t="s">
        <v>54</v>
      </c>
      <c r="C17" s="227" t="s">
        <v>770</v>
      </c>
    </row>
    <row r="18" spans="1:3" x14ac:dyDescent="0.2">
      <c r="A18" s="33" t="s">
        <v>771</v>
      </c>
      <c r="B18" s="228">
        <f>'DOE25'!F198+'DOE25'!F216+'DOE25'!F234+'DOE25'!F277+'DOE25'!F296+'DOE25'!F315</f>
        <v>857062.77</v>
      </c>
      <c r="C18" s="228">
        <f>'DOE25'!G198+'DOE25'!G216+'DOE25'!G234+'DOE25'!G277+'DOE25'!G296+'DOE25'!G315</f>
        <v>497421.04000000004</v>
      </c>
    </row>
    <row r="19" spans="1:3" x14ac:dyDescent="0.2">
      <c r="A19" t="s">
        <v>773</v>
      </c>
      <c r="B19" s="239">
        <v>303592.45</v>
      </c>
      <c r="C19" s="239">
        <f>211732.69+181.16+49925.53</f>
        <v>261839.38</v>
      </c>
    </row>
    <row r="20" spans="1:3" x14ac:dyDescent="0.2">
      <c r="A20" t="s">
        <v>774</v>
      </c>
      <c r="B20" s="239">
        <v>524744.56999999995</v>
      </c>
      <c r="C20" s="239">
        <f>175014.29+11974.15+44273.59</f>
        <v>231262.03</v>
      </c>
    </row>
    <row r="21" spans="1:3" x14ac:dyDescent="0.2">
      <c r="A21" t="s">
        <v>775</v>
      </c>
      <c r="B21" s="239">
        <v>28725.75</v>
      </c>
      <c r="C21" s="239">
        <f>3795.16+524.47</f>
        <v>4319.63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857062.77</v>
      </c>
      <c r="C22" s="230">
        <f>SUM(C19:C21)</f>
        <v>497421.04000000004</v>
      </c>
    </row>
    <row r="23" spans="1:3" x14ac:dyDescent="0.2">
      <c r="B23" s="229"/>
      <c r="C23" s="229"/>
    </row>
    <row r="24" spans="1:3" x14ac:dyDescent="0.2">
      <c r="B24" s="276" t="s">
        <v>777</v>
      </c>
      <c r="C24" s="276"/>
    </row>
    <row r="25" spans="1:3" x14ac:dyDescent="0.2">
      <c r="A25" s="238" t="s">
        <v>782</v>
      </c>
      <c r="B25" s="274" t="s">
        <v>702</v>
      </c>
      <c r="C25" s="275"/>
    </row>
    <row r="26" spans="1:3" x14ac:dyDescent="0.2">
      <c r="B26" s="227" t="s">
        <v>54</v>
      </c>
      <c r="C26" s="227" t="s">
        <v>770</v>
      </c>
    </row>
    <row r="27" spans="1:3" x14ac:dyDescent="0.2">
      <c r="A27" s="33" t="s">
        <v>771</v>
      </c>
      <c r="B27" s="233">
        <f>'DOE25'!F199+'DOE25'!F217+'DOE25'!F235+'DOE25'!F278+'DOE25'!F297+'DOE25'!F316</f>
        <v>65753</v>
      </c>
      <c r="C27" s="233">
        <f>'DOE25'!G199+'DOE25'!G217+'DOE25'!G235+'DOE25'!G278+'DOE25'!G297+'DOE25'!G316</f>
        <v>38033.1</v>
      </c>
    </row>
    <row r="28" spans="1:3" x14ac:dyDescent="0.2">
      <c r="A28" t="s">
        <v>773</v>
      </c>
      <c r="B28" s="239">
        <v>65753</v>
      </c>
      <c r="C28" s="239">
        <v>38033.1</v>
      </c>
    </row>
    <row r="29" spans="1:3" x14ac:dyDescent="0.2">
      <c r="A29" t="s">
        <v>774</v>
      </c>
      <c r="B29" s="239">
        <v>0</v>
      </c>
      <c r="C29" s="239">
        <v>0</v>
      </c>
    </row>
    <row r="30" spans="1:3" x14ac:dyDescent="0.2">
      <c r="A30" t="s">
        <v>775</v>
      </c>
      <c r="B30" s="239">
        <v>0</v>
      </c>
      <c r="C30" s="239">
        <v>0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65753</v>
      </c>
      <c r="C31" s="230">
        <f>SUM(C28:C30)</f>
        <v>38033.1</v>
      </c>
    </row>
    <row r="33" spans="1:3" x14ac:dyDescent="0.2">
      <c r="B33" s="276" t="s">
        <v>777</v>
      </c>
      <c r="C33" s="276"/>
    </row>
    <row r="34" spans="1:3" x14ac:dyDescent="0.2">
      <c r="A34" s="238" t="s">
        <v>783</v>
      </c>
      <c r="B34" s="274" t="s">
        <v>703</v>
      </c>
      <c r="C34" s="275"/>
    </row>
    <row r="35" spans="1:3" x14ac:dyDescent="0.2">
      <c r="B35" s="227" t="s">
        <v>54</v>
      </c>
      <c r="C35" s="227" t="s">
        <v>770</v>
      </c>
    </row>
    <row r="36" spans="1:3" x14ac:dyDescent="0.2">
      <c r="A36" s="33" t="s">
        <v>771</v>
      </c>
      <c r="B36" s="234">
        <f>'DOE25'!F200+'DOE25'!F218+'DOE25'!F236+'DOE25'!F279+'DOE25'!F298+'DOE25'!F317</f>
        <v>90870</v>
      </c>
      <c r="C36" s="234">
        <f>'DOE25'!G200+'DOE25'!G218+'DOE25'!G236+'DOE25'!G279+'DOE25'!G298+'DOE25'!G317</f>
        <v>13986.76</v>
      </c>
    </row>
    <row r="37" spans="1:3" x14ac:dyDescent="0.2">
      <c r="A37" t="s">
        <v>773</v>
      </c>
      <c r="B37" s="239">
        <v>0</v>
      </c>
      <c r="C37" s="239">
        <v>0</v>
      </c>
    </row>
    <row r="38" spans="1:3" x14ac:dyDescent="0.2">
      <c r="A38" t="s">
        <v>774</v>
      </c>
      <c r="B38" s="239">
        <v>0</v>
      </c>
      <c r="C38" s="239">
        <v>0</v>
      </c>
    </row>
    <row r="39" spans="1:3" x14ac:dyDescent="0.2">
      <c r="A39" t="s">
        <v>775</v>
      </c>
      <c r="B39" s="239">
        <v>90870</v>
      </c>
      <c r="C39" s="239">
        <v>13986.76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90870</v>
      </c>
      <c r="C40" s="230">
        <f>SUM(C37:C39)</f>
        <v>13986.76</v>
      </c>
    </row>
    <row r="41" spans="1:3" x14ac:dyDescent="0.2">
      <c r="B41" s="229"/>
      <c r="C41" s="229"/>
    </row>
    <row r="42" spans="1:3" x14ac:dyDescent="0.2">
      <c r="A42" s="33" t="s">
        <v>831</v>
      </c>
      <c r="B42" s="229"/>
      <c r="C42" s="229"/>
    </row>
    <row r="43" spans="1:3" x14ac:dyDescent="0.2">
      <c r="A43" t="s">
        <v>835</v>
      </c>
      <c r="B43" s="229"/>
      <c r="C43" s="229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3" t="s">
        <v>772</v>
      </c>
    </row>
    <row r="49" spans="1:1" x14ac:dyDescent="0.2">
      <c r="A49" s="267" t="s">
        <v>838</v>
      </c>
    </row>
    <row r="50" spans="1:1" x14ac:dyDescent="0.2">
      <c r="A50" s="267" t="s">
        <v>832</v>
      </c>
    </row>
    <row r="51" spans="1:1" x14ac:dyDescent="0.2">
      <c r="A51" s="267" t="s">
        <v>839</v>
      </c>
    </row>
    <row r="52" spans="1:1" x14ac:dyDescent="0.2">
      <c r="A52" s="268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784</v>
      </c>
      <c r="B1" s="281"/>
      <c r="C1" s="281"/>
      <c r="D1" s="281"/>
      <c r="E1" s="281"/>
      <c r="F1" s="281"/>
      <c r="G1" s="281"/>
      <c r="H1" s="281"/>
      <c r="I1" s="180"/>
    </row>
    <row r="2" spans="1:9" x14ac:dyDescent="0.2">
      <c r="A2" s="33" t="s">
        <v>711</v>
      </c>
      <c r="B2" s="264" t="str">
        <f>'DOE25'!A2</f>
        <v>MASCENIC REGIONAL SCHOOL DISTRICT</v>
      </c>
      <c r="C2" s="180"/>
      <c r="D2" s="180" t="s">
        <v>786</v>
      </c>
      <c r="E2" s="180" t="s">
        <v>788</v>
      </c>
      <c r="F2" s="278" t="s">
        <v>815</v>
      </c>
      <c r="G2" s="279"/>
      <c r="H2" s="280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787</v>
      </c>
      <c r="E3" s="180" t="s">
        <v>789</v>
      </c>
      <c r="F3" s="240" t="s">
        <v>829</v>
      </c>
      <c r="G3" s="216" t="s">
        <v>59</v>
      </c>
      <c r="H3" s="241" t="s">
        <v>792</v>
      </c>
    </row>
    <row r="4" spans="1:9" x14ac:dyDescent="0.2">
      <c r="A4" s="250" t="s">
        <v>794</v>
      </c>
      <c r="B4" s="250" t="s">
        <v>810</v>
      </c>
      <c r="C4" s="250" t="s">
        <v>785</v>
      </c>
      <c r="D4" s="250" t="s">
        <v>811</v>
      </c>
      <c r="E4" s="250" t="s">
        <v>811</v>
      </c>
      <c r="F4" s="249" t="s">
        <v>791</v>
      </c>
      <c r="G4" s="250" t="s">
        <v>805</v>
      </c>
      <c r="H4" s="251" t="s">
        <v>793</v>
      </c>
    </row>
    <row r="5" spans="1:9" x14ac:dyDescent="0.2">
      <c r="A5" s="32">
        <v>1000</v>
      </c>
      <c r="B5" t="s">
        <v>195</v>
      </c>
      <c r="C5" s="244">
        <f t="shared" ref="C5:C19" si="0">SUM(D5:H5)</f>
        <v>8519664.1799999997</v>
      </c>
      <c r="D5" s="20">
        <f>SUM('DOE25'!L197:L200)+SUM('DOE25'!L215:L218)+SUM('DOE25'!L233:L236)-F5-G5</f>
        <v>8441606.9100000001</v>
      </c>
      <c r="E5" s="242"/>
      <c r="F5" s="254">
        <f>SUM('DOE25'!J197:J200)+SUM('DOE25'!J215:J218)+SUM('DOE25'!J233:J236)</f>
        <v>68684.76999999999</v>
      </c>
      <c r="G5" s="53">
        <f>SUM('DOE25'!K197:K200)+SUM('DOE25'!K215:K218)+SUM('DOE25'!K233:K236)</f>
        <v>9372.5</v>
      </c>
      <c r="H5" s="258"/>
    </row>
    <row r="6" spans="1:9" x14ac:dyDescent="0.2">
      <c r="A6" s="32">
        <v>2100</v>
      </c>
      <c r="B6" t="s">
        <v>795</v>
      </c>
      <c r="C6" s="244">
        <f t="shared" si="0"/>
        <v>1219030.8999999999</v>
      </c>
      <c r="D6" s="20">
        <f>'DOE25'!L202+'DOE25'!L220+'DOE25'!L238-F6-G6</f>
        <v>1218574.8199999998</v>
      </c>
      <c r="E6" s="242"/>
      <c r="F6" s="254">
        <f>'DOE25'!J202+'DOE25'!J220+'DOE25'!J238</f>
        <v>182.07999999999998</v>
      </c>
      <c r="G6" s="53">
        <f>'DOE25'!K202+'DOE25'!K220+'DOE25'!K238</f>
        <v>274</v>
      </c>
      <c r="H6" s="258"/>
    </row>
    <row r="7" spans="1:9" x14ac:dyDescent="0.2">
      <c r="A7" s="32">
        <v>2200</v>
      </c>
      <c r="B7" t="s">
        <v>828</v>
      </c>
      <c r="C7" s="244">
        <f t="shared" si="0"/>
        <v>234646.31</v>
      </c>
      <c r="D7" s="20">
        <f>'DOE25'!L203+'DOE25'!L221+'DOE25'!L239-F7-G7</f>
        <v>234616.81</v>
      </c>
      <c r="E7" s="242"/>
      <c r="F7" s="254">
        <f>'DOE25'!J203+'DOE25'!J221+'DOE25'!J239</f>
        <v>29.5</v>
      </c>
      <c r="G7" s="53">
        <f>'DOE25'!K203+'DOE25'!K221+'DOE25'!K239</f>
        <v>0</v>
      </c>
      <c r="H7" s="258"/>
    </row>
    <row r="8" spans="1:9" x14ac:dyDescent="0.2">
      <c r="A8" s="32">
        <v>2300</v>
      </c>
      <c r="B8" t="s">
        <v>796</v>
      </c>
      <c r="C8" s="244">
        <f t="shared" si="0"/>
        <v>328327.31000000011</v>
      </c>
      <c r="D8" s="242"/>
      <c r="E8" s="20">
        <f>'DOE25'!L204+'DOE25'!L222+'DOE25'!L240-F8-G8-D9-D11</f>
        <v>318399.9800000001</v>
      </c>
      <c r="F8" s="254">
        <f>'DOE25'!J204+'DOE25'!J222+'DOE25'!J240</f>
        <v>216</v>
      </c>
      <c r="G8" s="53">
        <f>'DOE25'!K204+'DOE25'!K222+'DOE25'!K240</f>
        <v>9711.33</v>
      </c>
      <c r="H8" s="258"/>
    </row>
    <row r="9" spans="1:9" x14ac:dyDescent="0.2">
      <c r="A9" s="32">
        <v>2310</v>
      </c>
      <c r="B9" t="s">
        <v>812</v>
      </c>
      <c r="C9" s="244">
        <f t="shared" si="0"/>
        <v>139751.37</v>
      </c>
      <c r="D9" s="243">
        <v>139751.37</v>
      </c>
      <c r="E9" s="242"/>
      <c r="F9" s="257"/>
      <c r="G9" s="255"/>
      <c r="H9" s="258"/>
    </row>
    <row r="10" spans="1:9" x14ac:dyDescent="0.2">
      <c r="A10" s="32">
        <v>2317</v>
      </c>
      <c r="B10" t="s">
        <v>813</v>
      </c>
      <c r="C10" s="244">
        <f t="shared" si="0"/>
        <v>22250</v>
      </c>
      <c r="D10" s="242"/>
      <c r="E10" s="243">
        <v>22250</v>
      </c>
      <c r="F10" s="257"/>
      <c r="G10" s="255"/>
      <c r="H10" s="258"/>
    </row>
    <row r="11" spans="1:9" x14ac:dyDescent="0.2">
      <c r="A11" s="32">
        <v>2321</v>
      </c>
      <c r="B11" t="s">
        <v>825</v>
      </c>
      <c r="C11" s="244">
        <f t="shared" si="0"/>
        <v>270455.46999999997</v>
      </c>
      <c r="D11" s="243">
        <v>270455.46999999997</v>
      </c>
      <c r="E11" s="242"/>
      <c r="F11" s="257"/>
      <c r="G11" s="255"/>
      <c r="H11" s="258"/>
    </row>
    <row r="12" spans="1:9" x14ac:dyDescent="0.2">
      <c r="A12" s="32">
        <v>2400</v>
      </c>
      <c r="B12" t="s">
        <v>709</v>
      </c>
      <c r="C12" s="244">
        <f t="shared" si="0"/>
        <v>1115227.33</v>
      </c>
      <c r="D12" s="20">
        <f>'DOE25'!L205+'DOE25'!L223+'DOE25'!L241-F12-G12</f>
        <v>1107264.6400000001</v>
      </c>
      <c r="E12" s="242"/>
      <c r="F12" s="254">
        <f>'DOE25'!J205+'DOE25'!J223+'DOE25'!J241</f>
        <v>112.49</v>
      </c>
      <c r="G12" s="53">
        <f>'DOE25'!K205+'DOE25'!K223+'DOE25'!K241</f>
        <v>7850.2</v>
      </c>
      <c r="H12" s="258"/>
    </row>
    <row r="13" spans="1:9" x14ac:dyDescent="0.2">
      <c r="A13" s="32">
        <v>2500</v>
      </c>
      <c r="B13" t="s">
        <v>797</v>
      </c>
      <c r="C13" s="244">
        <f t="shared" si="0"/>
        <v>305065.55000000005</v>
      </c>
      <c r="D13" s="242"/>
      <c r="E13" s="20">
        <f>'DOE25'!L206+'DOE25'!L224+'DOE25'!L242-F13-G13</f>
        <v>301027.77</v>
      </c>
      <c r="F13" s="254">
        <f>'DOE25'!J206+'DOE25'!J224+'DOE25'!J242</f>
        <v>828</v>
      </c>
      <c r="G13" s="53">
        <f>'DOE25'!K206+'DOE25'!K224+'DOE25'!K242</f>
        <v>3209.7800000000007</v>
      </c>
      <c r="H13" s="258"/>
    </row>
    <row r="14" spans="1:9" x14ac:dyDescent="0.2">
      <c r="A14" s="32">
        <v>2600</v>
      </c>
      <c r="B14" t="s">
        <v>826</v>
      </c>
      <c r="C14" s="244">
        <f t="shared" si="0"/>
        <v>1340934.6000000001</v>
      </c>
      <c r="D14" s="20">
        <f>'DOE25'!L207+'DOE25'!L225+'DOE25'!L243-F14-G14</f>
        <v>1339093.57</v>
      </c>
      <c r="E14" s="242"/>
      <c r="F14" s="254">
        <f>'DOE25'!J207+'DOE25'!J225+'DOE25'!J243</f>
        <v>1841.0299999999997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798</v>
      </c>
      <c r="C15" s="244">
        <f t="shared" si="0"/>
        <v>712671.59</v>
      </c>
      <c r="D15" s="20">
        <f>'DOE25'!L208+'DOE25'!L226+'DOE25'!L244-F15-G15</f>
        <v>712671.59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799</v>
      </c>
      <c r="C16" s="244">
        <f t="shared" si="0"/>
        <v>301359.46999999997</v>
      </c>
      <c r="D16" s="242"/>
      <c r="E16" s="20">
        <f>'DOE25'!L209+'DOE25'!L227+'DOE25'!L245-F16-G16</f>
        <v>289333.78999999998</v>
      </c>
      <c r="F16" s="254">
        <f>'DOE25'!J209+'DOE25'!J227+'DOE25'!J245</f>
        <v>12025.68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800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801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802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790</v>
      </c>
      <c r="F21" s="259"/>
      <c r="G21" s="52"/>
      <c r="H21" s="260"/>
    </row>
    <row r="22" spans="1:8" x14ac:dyDescent="0.2">
      <c r="A22" s="32">
        <v>4000</v>
      </c>
      <c r="B22" t="s">
        <v>827</v>
      </c>
      <c r="C22" s="244">
        <f>SUM(D22:H22)</f>
        <v>0</v>
      </c>
      <c r="D22" s="242"/>
      <c r="E22" s="242"/>
      <c r="F22" s="254">
        <f>'DOE25'!L255+'DOE25'!L336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461</v>
      </c>
      <c r="F24" s="259"/>
      <c r="G24" s="52"/>
      <c r="H24" s="260"/>
    </row>
    <row r="25" spans="1:8" x14ac:dyDescent="0.2">
      <c r="A25" s="32" t="s">
        <v>803</v>
      </c>
      <c r="B25" t="s">
        <v>804</v>
      </c>
      <c r="C25" s="244">
        <f>SUM(D25:H25)</f>
        <v>2230273.75</v>
      </c>
      <c r="D25" s="242"/>
      <c r="E25" s="242"/>
      <c r="F25" s="257"/>
      <c r="G25" s="255"/>
      <c r="H25" s="256">
        <f>'DOE25'!L260+'DOE25'!L261+'DOE25'!L341+'DOE25'!L342</f>
        <v>2230273.75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806</v>
      </c>
      <c r="F27" s="259"/>
      <c r="G27" s="52"/>
      <c r="H27" s="260"/>
    </row>
    <row r="28" spans="1:8" x14ac:dyDescent="0.2">
      <c r="A28" s="32">
        <v>3100</v>
      </c>
      <c r="B28" t="s">
        <v>819</v>
      </c>
      <c r="F28" s="259"/>
      <c r="G28" s="52"/>
      <c r="H28" s="260"/>
    </row>
    <row r="29" spans="1:8" x14ac:dyDescent="0.2">
      <c r="A29" s="32"/>
      <c r="B29" t="s">
        <v>807</v>
      </c>
      <c r="C29" s="244">
        <f>SUM(D29:H29)</f>
        <v>394188.07</v>
      </c>
      <c r="D29" s="20">
        <f>'DOE25'!L358+'DOE25'!L359+'DOE25'!L360-'DOE25'!I367-F29-G29</f>
        <v>394188.07</v>
      </c>
      <c r="E29" s="242"/>
      <c r="F29" s="254">
        <f>'DOE25'!J358+'DOE25'!J359+'DOE25'!J360</f>
        <v>0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821</v>
      </c>
      <c r="B31" t="s">
        <v>820</v>
      </c>
      <c r="C31" s="244">
        <f>SUM(D31:H31)</f>
        <v>597788.14999999991</v>
      </c>
      <c r="D31" s="20">
        <f>'DOE25'!L290+'DOE25'!L309+'DOE25'!L328+'DOE25'!L333+'DOE25'!L334+'DOE25'!L335-F31-G31</f>
        <v>594961.14999999991</v>
      </c>
      <c r="E31" s="242"/>
      <c r="F31" s="254">
        <f>'DOE25'!J290+'DOE25'!J309+'DOE25'!J328+'DOE25'!J333+'DOE25'!J334+'DOE25'!J335</f>
        <v>2827</v>
      </c>
      <c r="G31" s="53">
        <f>'DOE25'!K290+'DOE25'!K309+'DOE25'!K328+'DOE25'!K333+'DOE25'!K334+'DOE25'!K335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808</v>
      </c>
      <c r="D33" s="245">
        <f>SUM(D5:D31)</f>
        <v>14453184.400000002</v>
      </c>
      <c r="E33" s="245">
        <f>SUM(E5:E31)</f>
        <v>931011.54</v>
      </c>
      <c r="F33" s="245">
        <f>SUM(F5:F31)</f>
        <v>86746.549999999988</v>
      </c>
      <c r="G33" s="245">
        <f>SUM(G5:G31)</f>
        <v>30417.810000000005</v>
      </c>
      <c r="H33" s="245">
        <f>SUM(H5:H31)</f>
        <v>2230273.75</v>
      </c>
    </row>
    <row r="35" spans="2:8" ht="12" thickBot="1" x14ac:dyDescent="0.25">
      <c r="B35" s="252" t="s">
        <v>841</v>
      </c>
      <c r="D35" s="253">
        <f>E33</f>
        <v>931011.54</v>
      </c>
      <c r="E35" s="248"/>
    </row>
    <row r="36" spans="2:8" ht="12" thickTop="1" x14ac:dyDescent="0.2">
      <c r="B36" t="s">
        <v>809</v>
      </c>
      <c r="D36" s="20">
        <f>D33</f>
        <v>14453184.400000002</v>
      </c>
    </row>
    <row r="38" spans="2:8" x14ac:dyDescent="0.2">
      <c r="B38" s="186" t="s">
        <v>908</v>
      </c>
      <c r="C38" s="265"/>
      <c r="D38" s="266"/>
    </row>
    <row r="39" spans="2:8" x14ac:dyDescent="0.2">
      <c r="B39" t="s">
        <v>818</v>
      </c>
      <c r="D39" s="180" t="str">
        <f>IF(E10&gt;0,"Y","N")</f>
        <v>Y</v>
      </c>
    </row>
    <row r="41" spans="2:8" x14ac:dyDescent="0.2">
      <c r="B41" s="263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MASCENIC REGIONAL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1334324.8700000001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612644.88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165205.21999999997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15633.42</v>
      </c>
      <c r="D13" s="95">
        <f>'DOE25'!G14</f>
        <v>29335.24</v>
      </c>
      <c r="E13" s="95">
        <f>'DOE25'!H14</f>
        <v>136518.82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23100.66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1515163.51</v>
      </c>
      <c r="D18" s="41">
        <f>SUM(D8:D17)</f>
        <v>52435.9</v>
      </c>
      <c r="E18" s="41">
        <f>SUM(E8:E17)</f>
        <v>136518.82</v>
      </c>
      <c r="F18" s="41">
        <f>SUM(F8:F17)</f>
        <v>0</v>
      </c>
      <c r="G18" s="41">
        <f>SUM(G8:G17)</f>
        <v>612644.88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36657.54</v>
      </c>
      <c r="E21" s="95">
        <f>'DOE25'!H22</f>
        <v>128547.68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33125.65</v>
      </c>
      <c r="D23" s="95">
        <f>'DOE25'!G24</f>
        <v>0</v>
      </c>
      <c r="E23" s="95">
        <f>'DOE25'!H24</f>
        <v>5950.38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46234.82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11523.64</v>
      </c>
      <c r="D29" s="95">
        <f>'DOE25'!G30</f>
        <v>5800.44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90884.11</v>
      </c>
      <c r="D31" s="41">
        <f>SUM(D21:D30)</f>
        <v>42457.98</v>
      </c>
      <c r="E31" s="41">
        <f>SUM(E21:E30)</f>
        <v>134498.06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23100.66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2020.76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76000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241973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-13122.740000000002</v>
      </c>
      <c r="E47" s="95">
        <f>'DOE25'!H48</f>
        <v>0</v>
      </c>
      <c r="F47" s="95">
        <f>'DOE25'!I48</f>
        <v>0</v>
      </c>
      <c r="G47" s="95">
        <f>'DOE25'!J48</f>
        <v>612644.88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46588.4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1059718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1424279.4</v>
      </c>
      <c r="D50" s="41">
        <f>SUM(D34:D49)</f>
        <v>9977.9199999999983</v>
      </c>
      <c r="E50" s="41">
        <f>SUM(E34:E49)</f>
        <v>2020.76</v>
      </c>
      <c r="F50" s="41">
        <f>SUM(F34:F49)</f>
        <v>0</v>
      </c>
      <c r="G50" s="41">
        <f>SUM(G34:G49)</f>
        <v>612644.88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1515163.51</v>
      </c>
      <c r="D51" s="41">
        <f>D50+D31</f>
        <v>52435.9</v>
      </c>
      <c r="E51" s="41">
        <f>E50+E31</f>
        <v>136518.82</v>
      </c>
      <c r="F51" s="41">
        <f>F50+F31</f>
        <v>0</v>
      </c>
      <c r="G51" s="41">
        <f>G50+G31</f>
        <v>612644.88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8609800.0199999996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34013.25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9953.15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161152.85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70261.430000000008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104274.68000000001</v>
      </c>
      <c r="D62" s="130">
        <f>SUM(D57:D61)</f>
        <v>161152.85</v>
      </c>
      <c r="E62" s="130">
        <f>SUM(E57:E61)</f>
        <v>0</v>
      </c>
      <c r="F62" s="130">
        <f>SUM(F57:F61)</f>
        <v>0</v>
      </c>
      <c r="G62" s="130">
        <f>SUM(G57:G61)</f>
        <v>9953.15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8714074.6999999993</v>
      </c>
      <c r="D63" s="22">
        <f>D56+D62</f>
        <v>161152.85</v>
      </c>
      <c r="E63" s="22">
        <f>E56+E62</f>
        <v>0</v>
      </c>
      <c r="F63" s="22">
        <f>F56+F62</f>
        <v>0</v>
      </c>
      <c r="G63" s="22">
        <f>G56+G62</f>
        <v>9953.15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5314438.75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1069119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9051.0400000000009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6392608.79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797013.02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10170.1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61630.079999999994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5406.3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868813.2</v>
      </c>
      <c r="D78" s="130">
        <f>SUM(D72:D77)</f>
        <v>5406.3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7261421.9900000002</v>
      </c>
      <c r="D81" s="130">
        <f>SUM(D79:D80)+D78+D70</f>
        <v>5406.3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88890.75</v>
      </c>
      <c r="D88" s="95">
        <f>SUM('DOE25'!G153:G161)</f>
        <v>221649.54</v>
      </c>
      <c r="E88" s="95">
        <f>SUM('DOE25'!H153:H161)</f>
        <v>646624.17999999993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88890.75</v>
      </c>
      <c r="D91" s="131">
        <f>SUM(D85:D90)</f>
        <v>221649.54</v>
      </c>
      <c r="E91" s="131">
        <f>SUM(E85:E90)</f>
        <v>646624.17999999993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704233.15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85000</v>
      </c>
    </row>
    <row r="97" spans="1:7" x14ac:dyDescent="0.2">
      <c r="A97" t="s">
        <v>752</v>
      </c>
      <c r="B97" s="32" t="s">
        <v>188</v>
      </c>
      <c r="C97" s="95">
        <f>SUM('DOE25'!F180:F181)</f>
        <v>48432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752665.15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85000</v>
      </c>
    </row>
    <row r="104" spans="1:7" ht="12.75" thickTop="1" thickBot="1" x14ac:dyDescent="0.25">
      <c r="A104" s="33" t="s">
        <v>759</v>
      </c>
      <c r="C104" s="86">
        <f>C63+C81+C91+C103</f>
        <v>16817052.59</v>
      </c>
      <c r="D104" s="86">
        <f>D63+D81+D91+D103</f>
        <v>388208.69</v>
      </c>
      <c r="E104" s="86">
        <f>E63+E81+E91+E103</f>
        <v>646624.17999999993</v>
      </c>
      <c r="F104" s="86">
        <f>F63+F81+F91+F103</f>
        <v>0</v>
      </c>
      <c r="G104" s="86">
        <f>G63+G81+G103</f>
        <v>94953.15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6507689.0499999998</v>
      </c>
      <c r="D109" s="24" t="s">
        <v>286</v>
      </c>
      <c r="E109" s="95">
        <f>('DOE25'!L276)+('DOE25'!L295)+('DOE25'!L314)</f>
        <v>264551.81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1732552.66</v>
      </c>
      <c r="D110" s="24" t="s">
        <v>286</v>
      </c>
      <c r="E110" s="95">
        <f>('DOE25'!L277)+('DOE25'!L296)+('DOE25'!L315)</f>
        <v>269192.83999999997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117293.15000000001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162129.32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8519664.1799999997</v>
      </c>
      <c r="D115" s="86">
        <f>SUM(D109:D114)</f>
        <v>0</v>
      </c>
      <c r="E115" s="86">
        <f>SUM(E109:E114)</f>
        <v>533744.64999999991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1219030.8999999999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234646.31</v>
      </c>
      <c r="D119" s="24" t="s">
        <v>286</v>
      </c>
      <c r="E119" s="95">
        <f>+('DOE25'!L282)+('DOE25'!L301)+('DOE25'!L320)</f>
        <v>64043.5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738534.15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1115227.33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305065.55000000005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1340934.6000000001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712671.59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301359.46999999997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394188.07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5967469.8999999994</v>
      </c>
      <c r="D128" s="86">
        <f>SUM(D118:D127)</f>
        <v>394188.07</v>
      </c>
      <c r="E128" s="86">
        <f>SUM(E118:E127)</f>
        <v>64043.5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1475000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755273.75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48431.88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94953.150000000009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-9953.1500000000087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2315273.75</v>
      </c>
      <c r="D144" s="141">
        <f>SUM(D130:D143)</f>
        <v>0</v>
      </c>
      <c r="E144" s="141">
        <f>SUM(E130:E143)</f>
        <v>48431.88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16802407.829999998</v>
      </c>
      <c r="D145" s="86">
        <f>(D115+D128+D144)</f>
        <v>394188.07</v>
      </c>
      <c r="E145" s="86">
        <f>(E115+E128+E144)</f>
        <v>646220.02999999991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2">
        <f>'DOE25'!F490</f>
        <v>16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286</v>
      </c>
    </row>
    <row r="152" spans="1:9" x14ac:dyDescent="0.2">
      <c r="A152" s="136" t="s">
        <v>28</v>
      </c>
      <c r="B152" s="151" t="str">
        <f>'DOE25'!F491</f>
        <v>06/10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286</v>
      </c>
    </row>
    <row r="153" spans="1:9" x14ac:dyDescent="0.2">
      <c r="A153" s="136" t="s">
        <v>29</v>
      </c>
      <c r="B153" s="151" t="str">
        <f>'DOE25'!F492</f>
        <v>09/26</v>
      </c>
      <c r="C153" s="151">
        <f>'DOE25'!G492</f>
        <v>0</v>
      </c>
      <c r="D153" s="151">
        <f>'DOE25'!H492</f>
        <v>0</v>
      </c>
      <c r="E153" s="151">
        <f>'DOE25'!I492</f>
        <v>0</v>
      </c>
      <c r="F153" s="151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23623315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5.39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14750000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14750000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1475000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1475000</v>
      </c>
    </row>
    <row r="159" spans="1:9" x14ac:dyDescent="0.2">
      <c r="A159" s="22" t="s">
        <v>35</v>
      </c>
      <c r="B159" s="137">
        <f>'DOE25'!F498</f>
        <v>13275000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13275000</v>
      </c>
    </row>
    <row r="160" spans="1:9" x14ac:dyDescent="0.2">
      <c r="A160" s="22" t="s">
        <v>36</v>
      </c>
      <c r="B160" s="137">
        <f>'DOE25'!F499</f>
        <v>3219851.25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3219851.25</v>
      </c>
    </row>
    <row r="161" spans="1:7" x14ac:dyDescent="0.2">
      <c r="A161" s="22" t="s">
        <v>37</v>
      </c>
      <c r="B161" s="137">
        <f>'DOE25'!F500</f>
        <v>16494851.25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16494851.25</v>
      </c>
    </row>
    <row r="162" spans="1:7" x14ac:dyDescent="0.2">
      <c r="A162" s="22" t="s">
        <v>38</v>
      </c>
      <c r="B162" s="137">
        <f>'DOE25'!F501</f>
        <v>1475000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1475000</v>
      </c>
    </row>
    <row r="163" spans="1:7" x14ac:dyDescent="0.2">
      <c r="A163" s="22" t="s">
        <v>39</v>
      </c>
      <c r="B163" s="137">
        <f>'DOE25'!F502</f>
        <v>675771.25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675771.25</v>
      </c>
    </row>
    <row r="164" spans="1:7" x14ac:dyDescent="0.2">
      <c r="A164" s="22" t="s">
        <v>246</v>
      </c>
      <c r="B164" s="137">
        <f>'DOE25'!F503</f>
        <v>2150771.25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2150771.25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sqref="A1:D43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734</v>
      </c>
      <c r="B1" s="282"/>
      <c r="C1" s="282"/>
      <c r="D1" s="282"/>
    </row>
    <row r="2" spans="1:4" x14ac:dyDescent="0.2">
      <c r="A2" s="186" t="s">
        <v>711</v>
      </c>
      <c r="B2" s="185" t="str">
        <f>'DOE25'!A2</f>
        <v>MASCENIC REGIONAL SCHOOL DISTRICT</v>
      </c>
    </row>
    <row r="3" spans="1:4" x14ac:dyDescent="0.2">
      <c r="B3" s="187" t="s">
        <v>909</v>
      </c>
    </row>
    <row r="4" spans="1:4" x14ac:dyDescent="0.2">
      <c r="B4" t="s">
        <v>61</v>
      </c>
      <c r="C4" s="178">
        <f>IF('DOE25'!F665+'DOE25'!F670=0,0,ROUND('DOE25'!F672,0))</f>
        <v>12266</v>
      </c>
    </row>
    <row r="5" spans="1:4" x14ac:dyDescent="0.2">
      <c r="B5" t="s">
        <v>698</v>
      </c>
      <c r="C5" s="178">
        <f>IF('DOE25'!G665+'DOE25'!G670=0,0,ROUND('DOE25'!G672,0))</f>
        <v>13813</v>
      </c>
    </row>
    <row r="6" spans="1:4" x14ac:dyDescent="0.2">
      <c r="B6" t="s">
        <v>62</v>
      </c>
      <c r="C6" s="178">
        <f>IF('DOE25'!H665+'DOE25'!H670=0,0,ROUND('DOE25'!H672,0))</f>
        <v>16449</v>
      </c>
    </row>
    <row r="7" spans="1:4" x14ac:dyDescent="0.2">
      <c r="B7" t="s">
        <v>699</v>
      </c>
      <c r="C7" s="178">
        <f>IF('DOE25'!I665+'DOE25'!I670=0,0,ROUND('DOE25'!I672,0))</f>
        <v>14045</v>
      </c>
    </row>
    <row r="9" spans="1:4" x14ac:dyDescent="0.2">
      <c r="A9" s="186" t="s">
        <v>94</v>
      </c>
      <c r="B9" s="187" t="s">
        <v>910</v>
      </c>
      <c r="C9" s="180" t="s">
        <v>718</v>
      </c>
      <c r="D9" s="180" t="s">
        <v>719</v>
      </c>
    </row>
    <row r="10" spans="1:4" x14ac:dyDescent="0.2">
      <c r="A10">
        <v>1100</v>
      </c>
      <c r="B10" t="s">
        <v>700</v>
      </c>
      <c r="C10" s="178">
        <f>ROUND('DOE25'!L197+'DOE25'!L215+'DOE25'!L233+'DOE25'!L276+'DOE25'!L295+'DOE25'!L314,0)</f>
        <v>6772241</v>
      </c>
      <c r="D10" s="181">
        <f>ROUND((C10/$C$28)*100,1)</f>
        <v>42.1</v>
      </c>
    </row>
    <row r="11" spans="1:4" x14ac:dyDescent="0.2">
      <c r="A11">
        <v>1200</v>
      </c>
      <c r="B11" t="s">
        <v>701</v>
      </c>
      <c r="C11" s="178">
        <f>ROUND('DOE25'!L198+'DOE25'!L216+'DOE25'!L234+'DOE25'!L277+'DOE25'!L296+'DOE25'!L315,0)</f>
        <v>2001746</v>
      </c>
      <c r="D11" s="181">
        <f>ROUND((C11/$C$28)*100,1)</f>
        <v>12.5</v>
      </c>
    </row>
    <row r="12" spans="1:4" x14ac:dyDescent="0.2">
      <c r="A12">
        <v>1300</v>
      </c>
      <c r="B12" t="s">
        <v>702</v>
      </c>
      <c r="C12" s="178">
        <f>ROUND('DOE25'!L199+'DOE25'!L217+'DOE25'!L235+'DOE25'!L278+'DOE25'!L297+'DOE25'!L316,0)</f>
        <v>117293</v>
      </c>
      <c r="D12" s="181">
        <f>ROUND((C12/$C$28)*100,1)</f>
        <v>0.7</v>
      </c>
    </row>
    <row r="13" spans="1:4" x14ac:dyDescent="0.2">
      <c r="A13">
        <v>1400</v>
      </c>
      <c r="B13" t="s">
        <v>703</v>
      </c>
      <c r="C13" s="178">
        <f>ROUND('DOE25'!L200+'DOE25'!L218+'DOE25'!L236+'DOE25'!L279+'DOE25'!L298+'DOE25'!L317,0)</f>
        <v>162129</v>
      </c>
      <c r="D13" s="181">
        <f>ROUND((C13/$C$28)*100,1)</f>
        <v>1</v>
      </c>
    </row>
    <row r="14" spans="1:4" x14ac:dyDescent="0.2">
      <c r="D14" s="181"/>
    </row>
    <row r="15" spans="1:4" x14ac:dyDescent="0.2">
      <c r="A15">
        <v>2100</v>
      </c>
      <c r="B15" t="s">
        <v>704</v>
      </c>
      <c r="C15" s="178">
        <f>ROUND('DOE25'!L202+'DOE25'!L220+'DOE25'!L238+'DOE25'!L281+'DOE25'!L300+'DOE25'!L319,0)</f>
        <v>1219031</v>
      </c>
      <c r="D15" s="181">
        <f t="shared" ref="D15:D27" si="0">ROUND((C15/$C$28)*100,1)</f>
        <v>7.6</v>
      </c>
    </row>
    <row r="16" spans="1:4" x14ac:dyDescent="0.2">
      <c r="A16">
        <v>2200</v>
      </c>
      <c r="B16" t="s">
        <v>705</v>
      </c>
      <c r="C16" s="178">
        <f>ROUND('DOE25'!L203+'DOE25'!L221+'DOE25'!L239+'DOE25'!L282+'DOE25'!L301+'DOE25'!L320,0)</f>
        <v>298690</v>
      </c>
      <c r="D16" s="181">
        <f t="shared" si="0"/>
        <v>1.9</v>
      </c>
    </row>
    <row r="17" spans="1:4" x14ac:dyDescent="0.2">
      <c r="A17" s="182" t="s">
        <v>721</v>
      </c>
      <c r="B17" t="s">
        <v>736</v>
      </c>
      <c r="C17" s="178">
        <f>ROUND('DOE25'!L204+'DOE25'!L209+'DOE25'!L222+'DOE25'!L227+'DOE25'!L240+'DOE25'!L245+'DOE25'!L283+'DOE25'!L288+'DOE25'!L302+'DOE25'!L307+'DOE25'!L321+'DOE25'!L326,0)</f>
        <v>1039894</v>
      </c>
      <c r="D17" s="181">
        <f t="shared" si="0"/>
        <v>6.5</v>
      </c>
    </row>
    <row r="18" spans="1:4" x14ac:dyDescent="0.2">
      <c r="A18">
        <v>2400</v>
      </c>
      <c r="B18" t="s">
        <v>709</v>
      </c>
      <c r="C18" s="178">
        <f>ROUND('DOE25'!L205+'DOE25'!L223+'DOE25'!L241+'DOE25'!L284+'DOE25'!L303+'DOE25'!L322,0)</f>
        <v>1115227</v>
      </c>
      <c r="D18" s="181">
        <f t="shared" si="0"/>
        <v>6.9</v>
      </c>
    </row>
    <row r="19" spans="1:4" x14ac:dyDescent="0.2">
      <c r="A19">
        <v>2500</v>
      </c>
      <c r="B19" t="s">
        <v>706</v>
      </c>
      <c r="C19" s="178">
        <f>ROUND('DOE25'!L206+'DOE25'!L224+'DOE25'!L242+'DOE25'!L285+'DOE25'!L304+'DOE25'!L323,0)</f>
        <v>305066</v>
      </c>
      <c r="D19" s="181">
        <f t="shared" si="0"/>
        <v>1.9</v>
      </c>
    </row>
    <row r="20" spans="1:4" x14ac:dyDescent="0.2">
      <c r="A20">
        <v>2600</v>
      </c>
      <c r="B20" t="s">
        <v>707</v>
      </c>
      <c r="C20" s="178">
        <f>ROUND('DOE25'!L207+'DOE25'!L225+'DOE25'!L243+'DOE25'!L286+'DOE25'!L305+'DOE25'!L324,0)</f>
        <v>1340935</v>
      </c>
      <c r="D20" s="181">
        <f t="shared" si="0"/>
        <v>8.3000000000000007</v>
      </c>
    </row>
    <row r="21" spans="1:4" x14ac:dyDescent="0.2">
      <c r="A21">
        <v>2700</v>
      </c>
      <c r="B21" t="s">
        <v>708</v>
      </c>
      <c r="C21" s="178">
        <f>ROUND('DOE25'!L208+'DOE25'!L226+'DOE25'!L244+'DOE25'!L287+'DOE25'!L306+'DOE25'!L325,0)</f>
        <v>712672</v>
      </c>
      <c r="D21" s="181">
        <f t="shared" si="0"/>
        <v>4.4000000000000004</v>
      </c>
    </row>
    <row r="22" spans="1:4" x14ac:dyDescent="0.2">
      <c r="A22">
        <v>2900</v>
      </c>
      <c r="B22" t="s">
        <v>710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712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720</v>
      </c>
      <c r="B24" t="s">
        <v>713</v>
      </c>
      <c r="C24" s="178">
        <f>ROUND('DOE25'!L251+'DOE25'!L252+'DOE25'!L253+'DOE25'!L254+'DOE25'!L333+'DOE25'!L334+'DOE25'!L335,0)</f>
        <v>0</v>
      </c>
      <c r="D24" s="181">
        <f t="shared" si="0"/>
        <v>0</v>
      </c>
    </row>
    <row r="25" spans="1:4" x14ac:dyDescent="0.2">
      <c r="A25">
        <v>5120</v>
      </c>
      <c r="B25" t="s">
        <v>714</v>
      </c>
      <c r="C25" s="178">
        <f>ROUND('DOE25'!L261+'DOE25'!L342,0)</f>
        <v>755274</v>
      </c>
      <c r="D25" s="181">
        <f t="shared" si="0"/>
        <v>4.7</v>
      </c>
    </row>
    <row r="26" spans="1:4" x14ac:dyDescent="0.2">
      <c r="A26" s="182" t="s">
        <v>715</v>
      </c>
      <c r="B26" t="s">
        <v>716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233035.15</v>
      </c>
      <c r="D27" s="181">
        <f t="shared" si="0"/>
        <v>1.4</v>
      </c>
    </row>
    <row r="28" spans="1:4" x14ac:dyDescent="0.2">
      <c r="B28" s="186" t="s">
        <v>717</v>
      </c>
      <c r="C28" s="179">
        <f>SUM(C10:C27)</f>
        <v>16073233.15</v>
      </c>
      <c r="D28" s="183">
        <f>ROUND(SUM(D10:D27),0)</f>
        <v>100</v>
      </c>
    </row>
    <row r="29" spans="1:4" x14ac:dyDescent="0.2">
      <c r="A29">
        <v>4000</v>
      </c>
      <c r="B29" t="s">
        <v>722</v>
      </c>
      <c r="C29" s="178">
        <f>ROUND('DOE25'!L255+'DOE25'!L336+'DOE25'!L374+'DOE25'!L375+'DOE25'!L376+'DOE25'!L377+'DOE25'!L378+'DOE25'!L379+'DOE25'!L380,0)</f>
        <v>0</v>
      </c>
    </row>
    <row r="30" spans="1:4" x14ac:dyDescent="0.2">
      <c r="B30" s="186" t="s">
        <v>723</v>
      </c>
      <c r="C30" s="179">
        <f>SUM(C28:C29)</f>
        <v>16073233.15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724</v>
      </c>
      <c r="C32" s="179">
        <f>ROUND('DOE25'!L260+'DOE25'!L341,0)</f>
        <v>1475000</v>
      </c>
    </row>
    <row r="34" spans="1:4" x14ac:dyDescent="0.2">
      <c r="A34" s="186" t="s">
        <v>94</v>
      </c>
      <c r="B34" s="187" t="s">
        <v>911</v>
      </c>
      <c r="C34" s="180" t="s">
        <v>718</v>
      </c>
      <c r="D34" s="180" t="s">
        <v>719</v>
      </c>
    </row>
    <row r="35" spans="1:4" x14ac:dyDescent="0.2">
      <c r="A35">
        <v>1100</v>
      </c>
      <c r="B35" s="184" t="s">
        <v>725</v>
      </c>
      <c r="C35" s="178">
        <f>ROUND('DOE25'!F60+'DOE25'!G60+'DOE25'!H60+'DOE25'!I60+'DOE25'!J60,0)</f>
        <v>8609800</v>
      </c>
      <c r="D35" s="181">
        <f t="shared" ref="D35:D40" si="1">ROUND((C35/$C$41)*100,1)</f>
        <v>48.8</v>
      </c>
    </row>
    <row r="36" spans="1:4" x14ac:dyDescent="0.2">
      <c r="B36" s="184" t="s">
        <v>737</v>
      </c>
      <c r="C36" s="178">
        <f>SUM('DOE25'!F112:J112)-SUM('DOE25'!G97:G110)+('DOE25'!F174+'DOE25'!F175+'DOE25'!I174+'DOE25'!I175)-C35</f>
        <v>818461</v>
      </c>
      <c r="D36" s="181">
        <f t="shared" si="1"/>
        <v>4.5999999999999996</v>
      </c>
    </row>
    <row r="37" spans="1:4" x14ac:dyDescent="0.2">
      <c r="A37" s="182" t="s">
        <v>845</v>
      </c>
      <c r="B37" s="184" t="s">
        <v>726</v>
      </c>
      <c r="C37" s="178">
        <f>ROUND('DOE25'!F117+'DOE25'!F118,0)</f>
        <v>6383558</v>
      </c>
      <c r="D37" s="181">
        <f t="shared" si="1"/>
        <v>36.200000000000003</v>
      </c>
    </row>
    <row r="38" spans="1:4" x14ac:dyDescent="0.2">
      <c r="A38" s="182" t="s">
        <v>732</v>
      </c>
      <c r="B38" s="184" t="s">
        <v>727</v>
      </c>
      <c r="C38" s="178">
        <f>ROUND(SUM('DOE25'!F140:J140)-SUM('DOE25'!F117:F119),0)</f>
        <v>883271</v>
      </c>
      <c r="D38" s="181">
        <f t="shared" si="1"/>
        <v>5</v>
      </c>
    </row>
    <row r="39" spans="1:4" x14ac:dyDescent="0.2">
      <c r="A39">
        <v>4000</v>
      </c>
      <c r="B39" s="184" t="s">
        <v>728</v>
      </c>
      <c r="C39" s="178">
        <f>ROUND('DOE25'!F169+'DOE25'!G169+'DOE25'!H169+'DOE25'!I169,0)</f>
        <v>957164</v>
      </c>
      <c r="D39" s="181">
        <f t="shared" si="1"/>
        <v>5.4</v>
      </c>
    </row>
    <row r="40" spans="1:4" x14ac:dyDescent="0.2">
      <c r="A40" s="182" t="s">
        <v>733</v>
      </c>
      <c r="B40" s="184" t="s">
        <v>729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730</v>
      </c>
      <c r="C41" s="179">
        <f>SUM(C35:C40)</f>
        <v>17652254</v>
      </c>
      <c r="D41" s="183">
        <f>SUM(D35:D40)</f>
        <v>100</v>
      </c>
    </row>
    <row r="42" spans="1:4" x14ac:dyDescent="0.2">
      <c r="A42" s="182" t="s">
        <v>735</v>
      </c>
      <c r="B42" s="184" t="s">
        <v>731</v>
      </c>
      <c r="C42" s="178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764</v>
      </c>
      <c r="B1" s="288"/>
      <c r="C1" s="288"/>
      <c r="D1" s="288"/>
      <c r="E1" s="288"/>
      <c r="F1" s="288"/>
      <c r="G1" s="288"/>
      <c r="H1" s="288"/>
      <c r="I1" s="288"/>
      <c r="J1" s="212"/>
      <c r="K1" s="212"/>
      <c r="L1" s="212"/>
      <c r="M1" s="213"/>
    </row>
    <row r="2" spans="1:26" ht="12.75" x14ac:dyDescent="0.2">
      <c r="A2" s="293" t="s">
        <v>761</v>
      </c>
      <c r="B2" s="294"/>
      <c r="C2" s="294"/>
      <c r="D2" s="294"/>
      <c r="E2" s="294"/>
      <c r="F2" s="291" t="str">
        <f>'DOE25'!A2</f>
        <v>MASCENIC REGIONAL SCHOOL DISTRICT</v>
      </c>
      <c r="G2" s="292"/>
      <c r="H2" s="292"/>
      <c r="I2" s="292"/>
      <c r="J2" s="52"/>
      <c r="K2" s="52"/>
      <c r="L2" s="52"/>
      <c r="M2" s="214"/>
    </row>
    <row r="3" spans="1:26" x14ac:dyDescent="0.2">
      <c r="A3" s="215" t="s">
        <v>762</v>
      </c>
      <c r="B3" s="216" t="s">
        <v>763</v>
      </c>
      <c r="C3" s="289" t="s">
        <v>765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7"/>
      <c r="B4" s="218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0"/>
      <c r="O29" s="210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6"/>
      <c r="AB29" s="206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6"/>
      <c r="AO29" s="206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6"/>
      <c r="BB29" s="206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6"/>
      <c r="BO29" s="206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6"/>
      <c r="CB29" s="206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6"/>
      <c r="CO29" s="206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6"/>
      <c r="DB29" s="206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6"/>
      <c r="DO29" s="206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6"/>
      <c r="EB29" s="206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6"/>
      <c r="EO29" s="206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6"/>
      <c r="FB29" s="206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6"/>
      <c r="FO29" s="206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6"/>
      <c r="GB29" s="206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6"/>
      <c r="GO29" s="206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6"/>
      <c r="HB29" s="206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6"/>
      <c r="HO29" s="206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6"/>
      <c r="IB29" s="206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6"/>
      <c r="IO29" s="206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7"/>
      <c r="B30" s="218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0"/>
      <c r="O30" s="210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6"/>
      <c r="AB30" s="206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6"/>
      <c r="AO30" s="206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6"/>
      <c r="BB30" s="206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6"/>
      <c r="BO30" s="206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6"/>
      <c r="CB30" s="206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6"/>
      <c r="CO30" s="206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6"/>
      <c r="DB30" s="206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6"/>
      <c r="DO30" s="206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6"/>
      <c r="EB30" s="206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6"/>
      <c r="EO30" s="206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6"/>
      <c r="FB30" s="206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6"/>
      <c r="FO30" s="206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6"/>
      <c r="GB30" s="206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6"/>
      <c r="GO30" s="206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6"/>
      <c r="HB30" s="206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6"/>
      <c r="HO30" s="206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6"/>
      <c r="IB30" s="206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6"/>
      <c r="IO30" s="206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7"/>
      <c r="B31" s="218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0"/>
      <c r="O31" s="210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6"/>
      <c r="AB31" s="206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6"/>
      <c r="AO31" s="206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6"/>
      <c r="BB31" s="206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6"/>
      <c r="BO31" s="206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6"/>
      <c r="CB31" s="206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6"/>
      <c r="CO31" s="206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6"/>
      <c r="DB31" s="206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6"/>
      <c r="DO31" s="206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6"/>
      <c r="EB31" s="206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6"/>
      <c r="EO31" s="206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6"/>
      <c r="FB31" s="206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6"/>
      <c r="FO31" s="206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6"/>
      <c r="GB31" s="206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6"/>
      <c r="GO31" s="206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6"/>
      <c r="HB31" s="206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6"/>
      <c r="HO31" s="206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6"/>
      <c r="IB31" s="206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6"/>
      <c r="IO31" s="206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7"/>
      <c r="B32" s="218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2"/>
      <c r="O32" s="222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7"/>
      <c r="AB32" s="218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7"/>
      <c r="AO32" s="218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7"/>
      <c r="BB32" s="218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7"/>
      <c r="BO32" s="218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7"/>
      <c r="CB32" s="218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7"/>
      <c r="CO32" s="218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7"/>
      <c r="DB32" s="218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7"/>
      <c r="DO32" s="218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7"/>
      <c r="EB32" s="218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7"/>
      <c r="EO32" s="218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7"/>
      <c r="FB32" s="218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7"/>
      <c r="FO32" s="218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7"/>
      <c r="GB32" s="218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7"/>
      <c r="GO32" s="218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7"/>
      <c r="HB32" s="218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7"/>
      <c r="HO32" s="218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7"/>
      <c r="IB32" s="218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7"/>
      <c r="IO32" s="218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7"/>
      <c r="B33" s="218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0"/>
      <c r="O38" s="210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6"/>
      <c r="AB38" s="206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6"/>
      <c r="AO38" s="206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6"/>
      <c r="BB38" s="206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6"/>
      <c r="BO38" s="206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6"/>
      <c r="CB38" s="206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6"/>
      <c r="CO38" s="206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6"/>
      <c r="DB38" s="206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6"/>
      <c r="DO38" s="206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6"/>
      <c r="EB38" s="206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6"/>
      <c r="EO38" s="206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6"/>
      <c r="FB38" s="206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6"/>
      <c r="FO38" s="206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6"/>
      <c r="GB38" s="206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6"/>
      <c r="GO38" s="206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6"/>
      <c r="HB38" s="206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6"/>
      <c r="HO38" s="206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6"/>
      <c r="IB38" s="206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6"/>
      <c r="IO38" s="206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7"/>
      <c r="B39" s="218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0"/>
      <c r="O39" s="210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6"/>
      <c r="AB39" s="206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6"/>
      <c r="AO39" s="206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6"/>
      <c r="BB39" s="206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6"/>
      <c r="BO39" s="206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6"/>
      <c r="CB39" s="206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6"/>
      <c r="CO39" s="206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6"/>
      <c r="DB39" s="206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6"/>
      <c r="DO39" s="206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6"/>
      <c r="EB39" s="206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6"/>
      <c r="EO39" s="206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6"/>
      <c r="FB39" s="206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6"/>
      <c r="FO39" s="206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6"/>
      <c r="GB39" s="206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6"/>
      <c r="GO39" s="206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6"/>
      <c r="HB39" s="206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6"/>
      <c r="HO39" s="206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6"/>
      <c r="IB39" s="206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6"/>
      <c r="IO39" s="206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7"/>
      <c r="B40" s="218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0"/>
      <c r="O40" s="210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6"/>
      <c r="AB40" s="206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6"/>
      <c r="AO40" s="206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6"/>
      <c r="BB40" s="206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6"/>
      <c r="BO40" s="206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6"/>
      <c r="CB40" s="206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6"/>
      <c r="CO40" s="206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6"/>
      <c r="DB40" s="206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6"/>
      <c r="DO40" s="206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6"/>
      <c r="EB40" s="206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6"/>
      <c r="EO40" s="206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6"/>
      <c r="FB40" s="206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6"/>
      <c r="FO40" s="206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6"/>
      <c r="GB40" s="206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6"/>
      <c r="GO40" s="206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6"/>
      <c r="HB40" s="206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6"/>
      <c r="HO40" s="206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6"/>
      <c r="IB40" s="206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6"/>
      <c r="IO40" s="206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7"/>
      <c r="B41" s="218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7"/>
      <c r="B60" s="218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7"/>
      <c r="B61" s="218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7"/>
      <c r="B62" s="218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7"/>
      <c r="B63" s="218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7"/>
      <c r="B64" s="218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7"/>
      <c r="B65" s="218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7"/>
      <c r="B66" s="218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7"/>
      <c r="B67" s="218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7"/>
      <c r="B68" s="218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7"/>
      <c r="B69" s="218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19"/>
      <c r="B70" s="220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300" t="s">
        <v>842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762</v>
      </c>
      <c r="B73" s="209" t="s">
        <v>763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0"/>
      <c r="B74" s="210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0"/>
      <c r="B75" s="210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0"/>
      <c r="B76" s="210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0"/>
      <c r="B77" s="210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0"/>
      <c r="B78" s="210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0"/>
      <c r="B79" s="210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0"/>
      <c r="B80" s="210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0"/>
      <c r="B81" s="210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0"/>
      <c r="B82" s="210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0"/>
      <c r="B83" s="210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0"/>
      <c r="B84" s="210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0"/>
      <c r="B85" s="210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0"/>
      <c r="B86" s="210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0"/>
      <c r="B87" s="210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0"/>
      <c r="B88" s="210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0"/>
      <c r="B89" s="210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0"/>
      <c r="B90" s="210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2018-10-03T14:42:22Z</cp:lastPrinted>
  <dcterms:created xsi:type="dcterms:W3CDTF">1997-12-04T19:04:30Z</dcterms:created>
  <dcterms:modified xsi:type="dcterms:W3CDTF">2018-12-03T19:44:07Z</dcterms:modified>
</cp:coreProperties>
</file>