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9200" windowHeight="109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1" i="1" l="1"/>
  <c r="I499" i="1"/>
  <c r="H499" i="1"/>
  <c r="G499" i="1"/>
  <c r="F499" i="1"/>
  <c r="I498" i="1" l="1"/>
  <c r="H498" i="1"/>
  <c r="G498" i="1"/>
  <c r="F498" i="1"/>
  <c r="I492" i="1" l="1"/>
  <c r="H492" i="1"/>
  <c r="I491" i="1"/>
  <c r="H491" i="1"/>
  <c r="D11" i="13"/>
  <c r="H243" i="1" l="1"/>
  <c r="H207" i="1"/>
  <c r="H197" i="1"/>
  <c r="H198" i="1"/>
  <c r="H276" i="1"/>
  <c r="H314" i="1"/>
  <c r="H281" i="1"/>
  <c r="G314" i="1" l="1"/>
  <c r="G315" i="1"/>
  <c r="G276" i="1"/>
  <c r="F197" i="1"/>
  <c r="F233" i="1"/>
  <c r="F314" i="1"/>
  <c r="F276" i="1"/>
  <c r="J197" i="1"/>
  <c r="J314" i="1"/>
  <c r="J243" i="1"/>
  <c r="J207" i="1"/>
  <c r="J277" i="1"/>
  <c r="J276" i="1"/>
  <c r="J204" i="1"/>
  <c r="J604" i="1"/>
  <c r="H604" i="1"/>
  <c r="J592" i="1"/>
  <c r="H244" i="1"/>
  <c r="H592" i="1"/>
  <c r="H208" i="1"/>
  <c r="H543" i="1"/>
  <c r="H541" i="1"/>
  <c r="H523" i="1"/>
  <c r="H521" i="1"/>
  <c r="I523" i="1"/>
  <c r="I521" i="1"/>
  <c r="J523" i="1"/>
  <c r="J521" i="1"/>
  <c r="J528" i="1"/>
  <c r="J526" i="1"/>
  <c r="I528" i="1"/>
  <c r="I526" i="1"/>
  <c r="H528" i="1"/>
  <c r="H526" i="1"/>
  <c r="H533" i="1"/>
  <c r="H531" i="1"/>
  <c r="G521" i="1"/>
  <c r="F523" i="1"/>
  <c r="F521" i="1"/>
  <c r="G526" i="1"/>
  <c r="G528" i="1"/>
  <c r="F528" i="1"/>
  <c r="F526" i="1"/>
  <c r="G533" i="1"/>
  <c r="G531" i="1"/>
  <c r="F533" i="1"/>
  <c r="F531" i="1"/>
  <c r="H538" i="1"/>
  <c r="H536" i="1"/>
  <c r="G523" i="1"/>
  <c r="F468" i="1" l="1"/>
  <c r="K261" i="1"/>
  <c r="K260" i="1"/>
  <c r="C12" i="12"/>
  <c r="B12" i="12"/>
  <c r="C11" i="12"/>
  <c r="C10" i="12"/>
  <c r="B10" i="12"/>
  <c r="I468" i="1"/>
  <c r="C21" i="12"/>
  <c r="C19" i="12"/>
  <c r="C20" i="12"/>
  <c r="C37" i="12"/>
  <c r="B37" i="12"/>
  <c r="B21" i="12"/>
  <c r="B20" i="12"/>
  <c r="B19" i="12"/>
  <c r="B11" i="12"/>
  <c r="H320" i="1"/>
  <c r="H282" i="1"/>
  <c r="I320" i="1" l="1"/>
  <c r="J315" i="1"/>
  <c r="H319" i="1"/>
  <c r="I315" i="1"/>
  <c r="H315" i="1"/>
  <c r="F315" i="1"/>
  <c r="K314" i="1"/>
  <c r="I314" i="1"/>
  <c r="I281" i="1"/>
  <c r="I282" i="1"/>
  <c r="I277" i="1"/>
  <c r="H277" i="1"/>
  <c r="G277" i="1"/>
  <c r="F277" i="1"/>
  <c r="K276" i="1"/>
  <c r="I276" i="1"/>
  <c r="H287" i="1"/>
  <c r="G282" i="1"/>
  <c r="F282" i="1"/>
  <c r="G281" i="1"/>
  <c r="F281" i="1"/>
  <c r="G321" i="1"/>
  <c r="F321" i="1"/>
  <c r="G283" i="1"/>
  <c r="F283" i="1"/>
  <c r="H203" i="1"/>
  <c r="G233" i="1"/>
  <c r="K240" i="1"/>
  <c r="J234" i="1"/>
  <c r="H234" i="1"/>
  <c r="F234" i="1"/>
  <c r="I203" i="1"/>
  <c r="F198" i="1"/>
  <c r="G197" i="1"/>
  <c r="H245" i="1"/>
  <c r="I243" i="1"/>
  <c r="G243" i="1"/>
  <c r="F243" i="1"/>
  <c r="I240" i="1"/>
  <c r="H204" i="1"/>
  <c r="H240" i="1"/>
  <c r="G240" i="1"/>
  <c r="F204" i="1"/>
  <c r="F240" i="1"/>
  <c r="I239" i="1"/>
  <c r="H239" i="1"/>
  <c r="H202" i="1"/>
  <c r="H238" i="1"/>
  <c r="I238" i="1"/>
  <c r="K238" i="1"/>
  <c r="H236" i="1"/>
  <c r="I234" i="1"/>
  <c r="G234" i="1"/>
  <c r="G198" i="1"/>
  <c r="J233" i="1"/>
  <c r="I233" i="1"/>
  <c r="H233" i="1"/>
  <c r="I207" i="1"/>
  <c r="G207" i="1"/>
  <c r="F207" i="1"/>
  <c r="K204" i="1"/>
  <c r="I204" i="1"/>
  <c r="G204" i="1"/>
  <c r="H200" i="1"/>
  <c r="I198" i="1"/>
  <c r="J198" i="1"/>
  <c r="I197" i="1"/>
  <c r="I241" i="1" l="1"/>
  <c r="H241" i="1"/>
  <c r="G241" i="1"/>
  <c r="F241" i="1"/>
  <c r="J239" i="1"/>
  <c r="G239" i="1"/>
  <c r="F239" i="1"/>
  <c r="J238" i="1"/>
  <c r="G238" i="1"/>
  <c r="F238" i="1"/>
  <c r="K236" i="1"/>
  <c r="J236" i="1"/>
  <c r="I236" i="1"/>
  <c r="G236" i="1"/>
  <c r="F236" i="1"/>
  <c r="H235" i="1"/>
  <c r="K233" i="1"/>
  <c r="H317" i="1"/>
  <c r="I317" i="1"/>
  <c r="I205" i="1"/>
  <c r="H205" i="1"/>
  <c r="G205" i="1"/>
  <c r="F205" i="1"/>
  <c r="J203" i="1"/>
  <c r="G203" i="1"/>
  <c r="F203" i="1"/>
  <c r="I202" i="1"/>
  <c r="G202" i="1"/>
  <c r="F202" i="1"/>
  <c r="K200" i="1"/>
  <c r="I200" i="1"/>
  <c r="G200" i="1"/>
  <c r="F200" i="1"/>
  <c r="K197" i="1"/>
  <c r="F582" i="1"/>
  <c r="H582" i="1"/>
  <c r="H595" i="1"/>
  <c r="J591" i="1"/>
  <c r="H591" i="1"/>
  <c r="H611" i="1"/>
  <c r="G611" i="1"/>
  <c r="F611" i="1"/>
  <c r="H472" i="1"/>
  <c r="H468" i="1"/>
  <c r="J473" i="1"/>
  <c r="J472" i="1"/>
  <c r="K379" i="1"/>
  <c r="J379" i="1"/>
  <c r="H379" i="1"/>
  <c r="H360" i="1"/>
  <c r="H358" i="1"/>
  <c r="H155" i="1"/>
  <c r="G97" i="1"/>
  <c r="H22" i="1"/>
  <c r="H49" i="1"/>
  <c r="H14" i="1"/>
  <c r="H17" i="1"/>
  <c r="H13" i="1"/>
  <c r="F50" i="1"/>
  <c r="F28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29" i="1" s="1"/>
  <c r="L233" i="1"/>
  <c r="C109" i="2" s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G661" i="1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C58" i="2" s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I147" i="1"/>
  <c r="F85" i="2" s="1"/>
  <c r="I162" i="1"/>
  <c r="L250" i="1"/>
  <c r="L332" i="1"/>
  <c r="E113" i="2" s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7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1" i="2"/>
  <c r="C113" i="2"/>
  <c r="D115" i="2"/>
  <c r="F115" i="2"/>
  <c r="G115" i="2"/>
  <c r="C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F476" i="1" s="1"/>
  <c r="H622" i="1" s="1"/>
  <c r="G470" i="1"/>
  <c r="H470" i="1"/>
  <c r="H476" i="1" s="1"/>
  <c r="H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F571" i="1" s="1"/>
  <c r="G565" i="1"/>
  <c r="H565" i="1"/>
  <c r="I565" i="1"/>
  <c r="J565" i="1"/>
  <c r="J571" i="1" s="1"/>
  <c r="K565" i="1"/>
  <c r="L567" i="1"/>
  <c r="L568" i="1"/>
  <c r="L570" i="1" s="1"/>
  <c r="L569" i="1"/>
  <c r="F570" i="1"/>
  <c r="G570" i="1"/>
  <c r="H570" i="1"/>
  <c r="H571" i="1" s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H640" i="1"/>
  <c r="G641" i="1"/>
  <c r="J641" i="1" s="1"/>
  <c r="H641" i="1"/>
  <c r="G643" i="1"/>
  <c r="H643" i="1"/>
  <c r="J643" i="1" s="1"/>
  <c r="G644" i="1"/>
  <c r="G652" i="1"/>
  <c r="H652" i="1"/>
  <c r="G653" i="1"/>
  <c r="H653" i="1"/>
  <c r="G654" i="1"/>
  <c r="H654" i="1"/>
  <c r="H655" i="1"/>
  <c r="J655" i="1" s="1"/>
  <c r="C26" i="10"/>
  <c r="A31" i="12"/>
  <c r="C70" i="2"/>
  <c r="D18" i="13"/>
  <c r="C18" i="13" s="1"/>
  <c r="D17" i="13"/>
  <c r="C17" i="13" s="1"/>
  <c r="F78" i="2"/>
  <c r="F81" i="2" s="1"/>
  <c r="D50" i="2"/>
  <c r="F18" i="2"/>
  <c r="G62" i="2"/>
  <c r="E13" i="13"/>
  <c r="C13" i="13" s="1"/>
  <c r="F112" i="1"/>
  <c r="K571" i="1"/>
  <c r="I169" i="1"/>
  <c r="H169" i="1"/>
  <c r="J140" i="1"/>
  <c r="K550" i="1"/>
  <c r="G22" i="2"/>
  <c r="J552" i="1"/>
  <c r="H140" i="1"/>
  <c r="F22" i="13"/>
  <c r="C22" i="13" s="1"/>
  <c r="H25" i="13"/>
  <c r="C25" i="13" s="1"/>
  <c r="E16" i="13"/>
  <c r="I545" i="1"/>
  <c r="G36" i="2"/>
  <c r="G164" i="2" l="1"/>
  <c r="G161" i="2"/>
  <c r="G156" i="2"/>
  <c r="L256" i="1"/>
  <c r="H112" i="1"/>
  <c r="H193" i="1" s="1"/>
  <c r="G629" i="1" s="1"/>
  <c r="J629" i="1" s="1"/>
  <c r="K605" i="1"/>
  <c r="G648" i="1" s="1"/>
  <c r="L529" i="1"/>
  <c r="H545" i="1"/>
  <c r="F552" i="1"/>
  <c r="K549" i="1"/>
  <c r="G545" i="1"/>
  <c r="H552" i="1"/>
  <c r="L539" i="1"/>
  <c r="G552" i="1"/>
  <c r="K551" i="1"/>
  <c r="C132" i="2"/>
  <c r="L270" i="1"/>
  <c r="E119" i="2"/>
  <c r="E118" i="2"/>
  <c r="H338" i="1"/>
  <c r="H352" i="1" s="1"/>
  <c r="F338" i="1"/>
  <c r="F352" i="1" s="1"/>
  <c r="F662" i="1"/>
  <c r="G649" i="1"/>
  <c r="J649" i="1" s="1"/>
  <c r="H662" i="1"/>
  <c r="C17" i="10"/>
  <c r="E8" i="13"/>
  <c r="C8" i="13" s="1"/>
  <c r="C120" i="2"/>
  <c r="J651" i="1"/>
  <c r="C18" i="10"/>
  <c r="D7" i="13"/>
  <c r="C7" i="13" s="1"/>
  <c r="C12" i="10"/>
  <c r="F257" i="1"/>
  <c r="F271" i="1" s="1"/>
  <c r="I257" i="1"/>
  <c r="I271" i="1" s="1"/>
  <c r="L328" i="1"/>
  <c r="G338" i="1"/>
  <c r="G352" i="1" s="1"/>
  <c r="J338" i="1"/>
  <c r="J352" i="1" s="1"/>
  <c r="C10" i="10"/>
  <c r="H647" i="1"/>
  <c r="C124" i="2"/>
  <c r="D14" i="13"/>
  <c r="C14" i="13" s="1"/>
  <c r="G257" i="1"/>
  <c r="G271" i="1" s="1"/>
  <c r="C121" i="2"/>
  <c r="D12" i="13"/>
  <c r="C12" i="13" s="1"/>
  <c r="C118" i="2"/>
  <c r="H257" i="1"/>
  <c r="H271" i="1" s="1"/>
  <c r="A40" i="12"/>
  <c r="D5" i="13"/>
  <c r="C5" i="13" s="1"/>
  <c r="A13" i="12"/>
  <c r="K598" i="1"/>
  <c r="G647" i="1" s="1"/>
  <c r="J647" i="1" s="1"/>
  <c r="G476" i="1"/>
  <c r="H623" i="1" s="1"/>
  <c r="I476" i="1"/>
  <c r="H625" i="1" s="1"/>
  <c r="J639" i="1"/>
  <c r="C29" i="10"/>
  <c r="F661" i="1"/>
  <c r="L362" i="1"/>
  <c r="G635" i="1" s="1"/>
  <c r="J635" i="1" s="1"/>
  <c r="H661" i="1"/>
  <c r="D127" i="2"/>
  <c r="D128" i="2" s="1"/>
  <c r="D145" i="2" s="1"/>
  <c r="E62" i="2"/>
  <c r="E63" i="2" s="1"/>
  <c r="I661" i="1"/>
  <c r="D91" i="2"/>
  <c r="D81" i="2"/>
  <c r="C91" i="2"/>
  <c r="H52" i="1"/>
  <c r="H619" i="1" s="1"/>
  <c r="J619" i="1" s="1"/>
  <c r="K545" i="1"/>
  <c r="D63" i="2"/>
  <c r="K500" i="1"/>
  <c r="C11" i="10"/>
  <c r="C20" i="10"/>
  <c r="L290" i="1"/>
  <c r="G625" i="1"/>
  <c r="L614" i="1"/>
  <c r="L534" i="1"/>
  <c r="K503" i="1"/>
  <c r="J623" i="1"/>
  <c r="L382" i="1"/>
  <c r="G636" i="1" s="1"/>
  <c r="J636" i="1" s="1"/>
  <c r="C123" i="2"/>
  <c r="E110" i="2"/>
  <c r="E115" i="2" s="1"/>
  <c r="D31" i="2"/>
  <c r="C18" i="2"/>
  <c r="J257" i="1"/>
  <c r="J271" i="1" s="1"/>
  <c r="J545" i="1"/>
  <c r="L433" i="1"/>
  <c r="J644" i="1"/>
  <c r="J634" i="1"/>
  <c r="C16" i="10"/>
  <c r="L247" i="1"/>
  <c r="C13" i="10"/>
  <c r="H33" i="13"/>
  <c r="C35" i="10"/>
  <c r="D29" i="13"/>
  <c r="C29" i="13" s="1"/>
  <c r="D6" i="13"/>
  <c r="C6" i="13" s="1"/>
  <c r="D15" i="13"/>
  <c r="C15" i="13" s="1"/>
  <c r="L351" i="1"/>
  <c r="G650" i="1"/>
  <c r="G645" i="1"/>
  <c r="J645" i="1" s="1"/>
  <c r="K257" i="1"/>
  <c r="K271" i="1" s="1"/>
  <c r="C112" i="2"/>
  <c r="C115" i="2" s="1"/>
  <c r="E103" i="2"/>
  <c r="E31" i="2"/>
  <c r="G662" i="1"/>
  <c r="C21" i="10"/>
  <c r="G624" i="1"/>
  <c r="J624" i="1" s="1"/>
  <c r="J622" i="1"/>
  <c r="J617" i="1"/>
  <c r="C78" i="2"/>
  <c r="C81" i="2" s="1"/>
  <c r="L211" i="1"/>
  <c r="G81" i="2"/>
  <c r="C62" i="2"/>
  <c r="C63" i="2" s="1"/>
  <c r="C19" i="10"/>
  <c r="C15" i="10"/>
  <c r="G112" i="1"/>
  <c r="C16" i="13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J652" i="1"/>
  <c r="J642" i="1"/>
  <c r="G571" i="1"/>
  <c r="I434" i="1"/>
  <c r="G434" i="1"/>
  <c r="E104" i="2"/>
  <c r="I663" i="1"/>
  <c r="C27" i="10"/>
  <c r="E128" i="2" l="1"/>
  <c r="E145" i="2" s="1"/>
  <c r="C36" i="10"/>
  <c r="K552" i="1"/>
  <c r="I662" i="1"/>
  <c r="L338" i="1"/>
  <c r="L352" i="1" s="1"/>
  <c r="G633" i="1" s="1"/>
  <c r="J633" i="1" s="1"/>
  <c r="H660" i="1"/>
  <c r="H664" i="1" s="1"/>
  <c r="H672" i="1" s="1"/>
  <c r="C6" i="10" s="1"/>
  <c r="E33" i="13"/>
  <c r="D35" i="13" s="1"/>
  <c r="L257" i="1"/>
  <c r="L271" i="1" s="1"/>
  <c r="G632" i="1" s="1"/>
  <c r="J632" i="1" s="1"/>
  <c r="D31" i="13"/>
  <c r="C31" i="13" s="1"/>
  <c r="C128" i="2"/>
  <c r="C145" i="2" s="1"/>
  <c r="H648" i="1"/>
  <c r="J648" i="1" s="1"/>
  <c r="J625" i="1"/>
  <c r="G672" i="1"/>
  <c r="C5" i="10" s="1"/>
  <c r="D104" i="2"/>
  <c r="C104" i="2"/>
  <c r="E51" i="2"/>
  <c r="F104" i="2"/>
  <c r="F660" i="1"/>
  <c r="L408" i="1"/>
  <c r="C28" i="10"/>
  <c r="D23" i="10" s="1"/>
  <c r="L545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67" i="1" l="1"/>
  <c r="D20" i="10"/>
  <c r="D15" i="10"/>
  <c r="D25" i="10"/>
  <c r="D27" i="10"/>
  <c r="D18" i="10"/>
  <c r="D17" i="10"/>
  <c r="D19" i="10"/>
  <c r="D10" i="10"/>
  <c r="D26" i="10"/>
  <c r="C30" i="10"/>
  <c r="D22" i="10"/>
  <c r="D13" i="10"/>
  <c r="D11" i="10"/>
  <c r="D21" i="10"/>
  <c r="D12" i="10"/>
  <c r="D24" i="10"/>
  <c r="D16" i="10"/>
  <c r="F664" i="1"/>
  <c r="I660" i="1"/>
  <c r="I664" i="1" s="1"/>
  <c r="I672" i="1" s="1"/>
  <c r="C7" i="10" s="1"/>
  <c r="G637" i="1"/>
  <c r="J637" i="1" s="1"/>
  <c r="H646" i="1"/>
  <c r="J646" i="1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<sst xmlns="http://schemas.openxmlformats.org/spreadsheetml/2006/main" count="3966" uniqueCount="919">
  <si>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</si>
  <si>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</si>
  <si>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</si>
  <si>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</si>
  <si>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</si>
  <si>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</si>
  <si>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</si>
  <si>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</si>
  <si>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</si>
  <si>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</si>
  <si>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</si>
  <si>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</si>
  <si>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</si>
  <si>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</si>
  <si>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</si>
  <si>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</si>
  <si>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</si>
  <si>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</si>
  <si>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</si>
  <si>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</si>
  <si>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</si>
  <si>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</si>
  <si>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</si>
  <si>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</si>
  <si>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</si>
  <si>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</si>
  <si>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</si>
  <si>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</si>
  <si>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</si>
  <si>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</si>
  <si>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</si>
  <si>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</si>
  <si>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</si>
  <si>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</si>
  <si>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</si>
  <si>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</si>
  <si>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</si>
  <si>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</si>
  <si>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</si>
  <si>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</si>
  <si>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</si>
  <si>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</si>
  <si>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</si>
  <si>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</si>
  <si>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</si>
  <si>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</si>
  <si>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</si>
  <si>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</si>
  <si>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</si>
  <si>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</si>
  <si>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</si>
  <si>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</si>
  <si>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</si>
  <si>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</si>
  <si>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</si>
  <si>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</si>
  <si>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</si>
  <si>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</si>
  <si>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</si>
  <si>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</si>
  <si>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</si>
  <si>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</si>
  <si>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</si>
  <si>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</si>
  <si>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</si>
  <si>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</si>
  <si>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</si>
  <si>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</si>
  <si>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</si>
  <si>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</si>
  <si>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</si>
  <si>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</si>
  <si>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</si>
  <si>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</si>
  <si>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</si>
  <si>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</si>
  <si>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</si>
  <si>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</si>
  <si>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</si>
  <si>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</si>
  <si>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</si>
  <si>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</si>
  <si>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</si>
  <si>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</si>
  <si>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</si>
  <si>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</si>
  <si>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</si>
  <si>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</si>
  <si>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</si>
  <si>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</si>
  <si>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</si>
  <si>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</si>
  <si>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</si>
  <si>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</si>
  <si>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</si>
  <si>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</si>
  <si>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</si>
  <si>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</si>
  <si>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</si>
  <si>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</si>
  <si>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</si>
  <si>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</si>
  <si>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</si>
  <si>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</si>
  <si>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</si>
  <si>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</si>
  <si>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</si>
  <si>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</si>
  <si>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</si>
  <si>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</si>
  <si>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</si>
  <si>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</si>
  <si>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</si>
  <si>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</si>
  <si>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</si>
  <si>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</si>
  <si>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</si>
  <si>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</si>
  <si>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</si>
  <si>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</si>
  <si>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</si>
  <si>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</si>
  <si>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</si>
  <si>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</si>
  <si>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</si>
  <si>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</si>
  <si>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</si>
  <si>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</si>
  <si>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</si>
  <si>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</si>
  <si>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</si>
  <si>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</si>
  <si>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</si>
  <si>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</si>
  <si>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</si>
  <si>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</si>
  <si>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</si>
  <si>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</si>
  <si>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</si>
  <si>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</si>
  <si>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</si>
  <si>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</si>
  <si>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</si>
  <si>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</si>
  <si>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</si>
  <si>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</si>
  <si>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</si>
  <si>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</si>
  <si>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</si>
  <si>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</si>
  <si>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</si>
  <si>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</si>
  <si>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</si>
  <si>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</si>
  <si>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</si>
  <si>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</si>
  <si>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</si>
  <si>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</si>
  <si>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</si>
  <si>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</si>
  <si>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</si>
  <si>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</si>
  <si>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</si>
  <si>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</si>
  <si>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</si>
  <si>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</si>
  <si>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</si>
  <si>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</si>
  <si>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</si>
  <si>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</si>
  <si>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</si>
  <si>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</si>
  <si>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</si>
  <si>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</si>
  <si>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</si>
  <si>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</si>
  <si>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</si>
  <si>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</si>
  <si>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</si>
  <si>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</si>
  <si>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</si>
  <si>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</si>
  <si>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</si>
  <si>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</si>
  <si>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</si>
  <si>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</si>
  <si>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</si>
  <si>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</si>
  <si>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</si>
  <si>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</si>
  <si>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</si>
  <si>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</si>
  <si>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</si>
  <si>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</si>
  <si>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</si>
  <si>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</si>
  <si>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</si>
  <si>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</si>
  <si>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</si>
  <si>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</si>
  <si>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</si>
  <si>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</si>
  <si>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</si>
  <si>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</si>
  <si>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</si>
  <si>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</si>
  <si>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</si>
  <si>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</si>
  <si>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</si>
  <si>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</si>
  <si>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</si>
  <si>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</si>
  <si>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</si>
  <si>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</si>
  <si>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</si>
  <si>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</si>
  <si>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</si>
  <si>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</si>
  <si>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</si>
  <si>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</si>
  <si>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</si>
  <si>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</si>
  <si>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</si>
  <si>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</si>
  <si>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</si>
  <si>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</si>
  <si>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</si>
  <si>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</si>
  <si>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</si>
  <si>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</si>
  <si>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</si>
  <si>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</si>
  <si>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</si>
  <si>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</si>
  <si>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</si>
  <si>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</si>
  <si>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</si>
  <si>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</si>
  <si>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</si>
  <si>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</si>
  <si>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</si>
  <si>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</si>
  <si>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</si>
  <si>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</si>
  <si>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</si>
  <si>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</si>
  <si>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</si>
  <si>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</si>
  <si>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</si>
  <si>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</si>
  <si>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</si>
  <si>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</si>
  <si>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</si>
  <si>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</si>
  <si>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</si>
  <si>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</si>
  <si>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</si>
  <si>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</si>
  <si>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</si>
  <si>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</si>
  <si>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</si>
  <si>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</si>
  <si>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</si>
  <si>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</si>
  <si>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</si>
  <si>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</si>
  <si>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</si>
  <si>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</si>
  <si>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</si>
  <si>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</si>
  <si>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</si>
  <si>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</si>
  <si>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</si>
  <si>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</si>
  <si>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</si>
  <si>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</si>
  <si>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</si>
  <si>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</si>
  <si>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</si>
  <si>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</si>
  <si>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</si>
  <si>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</si>
  <si>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</si>
  <si>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</si>
  <si>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</si>
  <si>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</si>
  <si>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</si>
  <si>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</si>
  <si>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</si>
  <si>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</si>
  <si>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</si>
  <si>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</si>
  <si>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</si>
  <si>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</si>
  <si>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</si>
  <si>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</si>
  <si>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</si>
  <si>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</si>
  <si>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</si>
  <si>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</si>
  <si>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</si>
  <si>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</si>
  <si>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</si>
  <si>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</si>
  <si>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</si>
  <si>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</si>
  <si>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</si>
  <si>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</si>
  <si>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</si>
  <si>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</si>
  <si>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</si>
  <si>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</si>
  <si>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</si>
  <si>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</si>
  <si>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</si>
  <si>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</si>
  <si>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</si>
  <si>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</si>
  <si>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</si>
  <si>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</si>
  <si>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</si>
  <si>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</si>
  <si>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</si>
  <si>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</si>
  <si>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</si>
  <si>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</si>
  <si>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</si>
  <si>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</si>
  <si>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</si>
  <si>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</si>
  <si>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</si>
  <si>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</si>
  <si>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</si>
  <si>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</si>
  <si>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</si>
  <si>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</si>
  <si>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</si>
  <si>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</si>
  <si>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</si>
  <si>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</si>
  <si>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</si>
  <si>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</si>
  <si>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</si>
  <si>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</si>
  <si>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</si>
  <si>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</si>
  <si>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</si>
  <si>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</si>
  <si>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</si>
  <si>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</si>
  <si>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</si>
  <si>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</si>
  <si>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</si>
  <si>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</si>
  <si>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</si>
  <si>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</si>
  <si>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</si>
  <si>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</si>
  <si>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</si>
  <si>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</si>
  <si>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</si>
  <si>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</si>
  <si>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</si>
  <si>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</si>
  <si>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</si>
  <si>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</si>
  <si>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</si>
  <si>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</si>
  <si>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</si>
  <si>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</si>
  <si>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</si>
  <si>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</si>
  <si>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</si>
  <si>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</si>
  <si>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</si>
  <si>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</si>
  <si>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</si>
  <si>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</si>
  <si>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</si>
  <si>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</si>
  <si>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</si>
  <si>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</si>
  <si>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</si>
  <si>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</si>
  <si>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</si>
  <si>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</si>
  <si>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</si>
  <si>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</si>
  <si>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</si>
  <si>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</si>
  <si>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</si>
  <si>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</si>
  <si>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</si>
  <si>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</si>
  <si>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</si>
  <si>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</si>
  <si>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</si>
  <si>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</si>
  <si>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</si>
  <si>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</si>
  <si>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</si>
  <si>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</si>
  <si>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</si>
  <si>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</si>
  <si>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</si>
  <si>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</si>
  <si>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</si>
  <si>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</si>
  <si>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</si>
  <si>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</si>
  <si>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</si>
  <si>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</si>
  <si>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</si>
  <si>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</si>
  <si>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</si>
  <si>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</si>
  <si>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</si>
  <si>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</si>
  <si>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</si>
  <si>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</si>
  <si>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</si>
  <si>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</si>
  <si>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</si>
  <si>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</si>
  <si>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</si>
  <si>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</si>
  <si>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</si>
  <si>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</si>
  <si>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</si>
  <si>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</si>
  <si>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</si>
  <si>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</si>
  <si>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</si>
  <si>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</si>
  <si>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</si>
  <si>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</si>
  <si>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</si>
  <si>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</si>
  <si>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</si>
  <si>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</si>
  <si>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</si>
  <si>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</si>
  <si>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</si>
  <si>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</si>
  <si>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</si>
  <si>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</si>
  <si>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</si>
  <si>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</si>
  <si>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</si>
  <si>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</si>
  <si>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</si>
  <si>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</si>
  <si>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</si>
  <si>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</si>
  <si>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</si>
  <si>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</si>
  <si>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</si>
  <si>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</si>
  <si>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</si>
  <si>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</si>
  <si>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</si>
  <si>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</si>
  <si>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</si>
  <si>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</si>
  <si>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</si>
  <si>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</si>
  <si>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</si>
  <si>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</si>
  <si>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</si>
  <si>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</si>
  <si>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</si>
  <si>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</si>
  <si>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</si>
  <si>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</si>
  <si>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</si>
  <si>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</si>
  <si>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</si>
  <si>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</si>
  <si>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</si>
  <si>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</si>
  <si>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</si>
  <si>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</si>
  <si>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</si>
  <si>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</si>
  <si>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</si>
  <si>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</si>
  <si>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</si>
  <si>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</si>
  <si>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</si>
  <si>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</si>
  <si>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</si>
  <si>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</si>
  <si>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</si>
  <si>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</si>
  <si>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</si>
  <si>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</si>
  <si>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</si>
  <si>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</si>
  <si>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</si>
  <si>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</si>
  <si>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</si>
  <si>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</si>
  <si>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</si>
  <si>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</si>
  <si>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</si>
  <si>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</si>
  <si>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</si>
  <si>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</si>
  <si>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</si>
  <si>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</si>
  <si>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</si>
  <si>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</si>
  <si>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</si>
  <si>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</si>
  <si>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</si>
  <si>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</si>
  <si>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</si>
  <si>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</si>
  <si>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</si>
  <si>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</si>
  <si>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</si>
  <si>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</si>
  <si>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</si>
  <si>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</si>
  <si>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</si>
  <si>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</si>
  <si>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</si>
  <si>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</si>
  <si>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</si>
  <si>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</si>
  <si>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</si>
  <si>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</si>
  <si>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</si>
  <si>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</si>
  <si>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</si>
  <si>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</si>
  <si>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</si>
  <si>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</si>
  <si>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</si>
  <si>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</si>
  <si>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</si>
  <si>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</si>
  <si>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</si>
  <si>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</si>
  <si>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</si>
  <si>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</si>
  <si>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</si>
  <si>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</si>
  <si>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</si>
  <si>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</si>
  <si>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</si>
  <si>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</si>
  <si>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</si>
  <si>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</si>
  <si>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</si>
  <si>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</si>
  <si>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</si>
  <si>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</si>
  <si>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</si>
  <si>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</si>
  <si>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</si>
  <si>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</si>
  <si>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</si>
  <si>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</si>
  <si>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</si>
  <si>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</si>
  <si>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</si>
  <si>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</si>
  <si>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</si>
  <si>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</si>
  <si>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</si>
  <si>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</si>
  <si>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</si>
  <si>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</si>
  <si>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</si>
  <si>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</si>
  <si>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</si>
  <si>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</si>
  <si>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</si>
  <si>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</si>
  <si>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</si>
  <si>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</si>
  <si>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</si>
  <si>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</si>
  <si>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</si>
  <si>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</si>
  <si>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</si>
  <si>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</si>
  <si>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</si>
  <si>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</si>
  <si>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</si>
  <si>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</si>
  <si>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</si>
  <si>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</si>
  <si>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</si>
  <si>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</si>
  <si>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</si>
  <si>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</si>
  <si>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</si>
  <si>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</si>
  <si>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</si>
  <si>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</si>
  <si>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</si>
  <si>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</si>
  <si>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</si>
  <si>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</si>
  <si>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</si>
  <si>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</si>
  <si>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</si>
  <si>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</si>
  <si>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</si>
  <si>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</si>
  <si>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</si>
  <si>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</si>
  <si>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</si>
  <si>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</si>
  <si>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</si>
  <si>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</si>
  <si>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</si>
  <si>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</si>
  <si>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</si>
  <si>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</si>
  <si>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</si>
  <si>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</si>
  <si>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</si>
  <si>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</si>
  <si>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</si>
  <si>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</si>
  <si>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</si>
  <si>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</si>
  <si>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</si>
  <si>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</si>
  <si>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</si>
  <si>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</si>
  <si>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</si>
  <si>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</si>
  <si>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</si>
  <si>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</si>
  <si>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</si>
  <si>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</si>
  <si>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</si>
  <si>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</si>
  <si>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</si>
  <si>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</si>
  <si>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</si>
  <si>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</si>
  <si>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</si>
  <si>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</si>
  <si>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</si>
  <si>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</si>
  <si>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</si>
  <si>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</si>
  <si>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</si>
  <si>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</si>
  <si>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</si>
  <si>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</si>
  <si>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</si>
  <si>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</si>
  <si>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</si>
  <si>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</si>
  <si>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</si>
  <si>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</si>
  <si>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</si>
  <si>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</si>
  <si>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</si>
  <si>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</si>
  <si>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</si>
  <si>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</si>
  <si>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</si>
  <si>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</si>
  <si>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</si>
  <si>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</si>
  <si>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</si>
  <si>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</si>
  <si>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</si>
  <si>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</si>
  <si>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</si>
  <si>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</si>
  <si>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</si>
  <si>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</si>
  <si>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</si>
  <si>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</si>
  <si>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</si>
  <si>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</si>
  <si>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</si>
  <si>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</si>
  <si>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</si>
  <si>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</si>
  <si>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</si>
  <si>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</si>
  <si>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</si>
  <si>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</si>
  <si>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</si>
  <si>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</si>
  <si>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</si>
  <si>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</si>
  <si>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</si>
  <si>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</si>
  <si>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</si>
  <si>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</si>
  <si>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</si>
  <si>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</si>
  <si>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</si>
  <si>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</si>
  <si>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</si>
  <si>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</si>
  <si>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</si>
  <si>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</si>
  <si>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</si>
  <si>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</si>
  <si>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</si>
  <si>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</si>
  <si>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</si>
  <si>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</si>
  <si>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</si>
  <si>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</si>
  <si>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</si>
  <si>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</si>
  <si>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</si>
  <si>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</si>
  <si>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</si>
  <si>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</si>
  <si>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</si>
  <si>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</si>
  <si>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</si>
  <si>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</si>
  <si>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</si>
  <si>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</si>
  <si>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</si>
  <si>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</si>
  <si>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</si>
  <si>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</si>
  <si>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</si>
  <si>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</si>
  <si>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</si>
  <si>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</si>
  <si>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</si>
  <si>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</si>
  <si>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</si>
  <si>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</si>
  <si>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</si>
  <si>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</si>
  <si>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</si>
  <si>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</si>
  <si>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</si>
  <si>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</si>
  <si>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</si>
  <si>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</si>
  <si>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</si>
  <si>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</si>
  <si>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</si>
  <si>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</si>
  <si>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</si>
  <si>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</si>
  <si>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</si>
  <si>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</si>
  <si>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</si>
  <si>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</si>
  <si>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</si>
  <si>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</si>
  <si>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</si>
  <si>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</si>
  <si>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</si>
  <si>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</si>
  <si>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</si>
  <si>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</si>
  <si>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</si>
  <si>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</si>
  <si>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</si>
  <si>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</si>
  <si>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</si>
  <si>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</si>
  <si>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</si>
  <si>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</si>
  <si>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</si>
  <si>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</si>
  <si>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</si>
  <si>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</si>
  <si>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</si>
  <si>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</si>
  <si>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</si>
  <si>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</si>
  <si>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</si>
  <si>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</si>
  <si>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</si>
  <si>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</si>
  <si>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</si>
  <si>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</si>
  <si>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</si>
  <si>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</si>
  <si>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</si>
  <si>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</si>
  <si>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</si>
  <si>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</si>
  <si>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</si>
  <si>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</si>
  <si>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</si>
  <si>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</si>
  <si>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</si>
  <si>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</si>
  <si>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</si>
  <si>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</si>
  <si>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</si>
  <si>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</si>
  <si>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</si>
  <si>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</si>
  <si>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</si>
  <si>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</si>
  <si>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</si>
  <si>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</si>
  <si>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</si>
  <si>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</si>
  <si>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</si>
  <si>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</si>
  <si>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</si>
  <si>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</si>
  <si>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</si>
  <si>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</si>
  <si>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</si>
  <si>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</si>
  <si>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</si>
  <si>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</si>
  <si>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</si>
  <si>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</si>
  <si>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</si>
  <si>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</si>
  <si>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</si>
  <si>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</si>
  <si>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</si>
  <si>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</si>
  <si>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</si>
  <si>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</si>
  <si>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</si>
  <si>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</si>
  <si>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</si>
  <si>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</si>
  <si>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</si>
  <si>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</si>
  <si>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</si>
  <si>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</si>
  <si>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</si>
  <si>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</si>
  <si>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</si>
  <si>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</si>
  <si>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</si>
  <si>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</si>
  <si>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</si>
  <si>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</si>
  <si>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</si>
  <si>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</si>
  <si>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</si>
  <si>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</si>
  <si>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</si>
  <si>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</si>
  <si>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</si>
  <si>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</si>
  <si>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</si>
  <si>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</si>
  <si>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</si>
  <si>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</si>
  <si>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</si>
  <si>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</si>
  <si>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</si>
  <si>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</si>
  <si>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</si>
  <si>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</si>
  <si>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</si>
  <si>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</si>
  <si>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</si>
  <si>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</si>
  <si>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</si>
  <si>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</si>
  <si>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</si>
  <si>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</si>
  <si>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</si>
  <si>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</si>
  <si>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</si>
  <si>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</si>
  <si>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</si>
  <si>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</si>
  <si>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</si>
  <si>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</si>
  <si>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</si>
  <si>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</si>
  <si>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</si>
  <si>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</si>
  <si>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</si>
  <si>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</si>
  <si>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</si>
  <si>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</si>
  <si>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</si>
  <si>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</si>
  <si>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</si>
  <si>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</si>
  <si>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</si>
  <si>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</si>
  <si>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</si>
  <si>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</si>
  <si>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</si>
  <si>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</si>
  <si>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</si>
  <si>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</si>
  <si>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</si>
  <si>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</si>
  <si>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</si>
  <si>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</si>
  <si>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</si>
  <si>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</si>
  <si>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</si>
  <si>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</si>
  <si>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</si>
  <si>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</si>
  <si>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Mascoma Valley Regional School District</t>
  </si>
  <si>
    <t>Trust Fund Management Fees</t>
  </si>
  <si>
    <t>Capital Project Interest Reclassed to General Fund</t>
  </si>
  <si>
    <t>5/2013</t>
  </si>
  <si>
    <t>6/12/14</t>
  </si>
  <si>
    <t>11/20/28</t>
  </si>
  <si>
    <t>12/15/39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</si>
</sst>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343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1638573.27+100</f>
        <v>1638673.27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-111119.95</v>
      </c>
      <c r="G12" s="18"/>
      <c r="H12" s="18"/>
      <c r="I12" s="18"/>
      <c r="J12" s="67">
        <f>SUM(I441)</f>
        <v>760379.53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18325.38</v>
      </c>
      <c r="H13" s="18">
        <f>135141.53</f>
        <v>135141.53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93628.62</v>
      </c>
      <c r="G14" s="18">
        <v>785.87</v>
      </c>
      <c r="H14" s="18">
        <f>1504</f>
        <v>1504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>
        <f>14935.5</f>
        <v>14935.5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1621181.94</v>
      </c>
      <c r="G19" s="41">
        <f>SUM(G9:G18)</f>
        <v>19111.25</v>
      </c>
      <c r="H19" s="41">
        <f>SUM(H9:H18)</f>
        <v>151581.03</v>
      </c>
      <c r="I19" s="41">
        <f>SUM(I9:I18)</f>
        <v>0</v>
      </c>
      <c r="J19" s="41">
        <f>SUM(J9:J18)</f>
        <v>760379.53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-66080.990000000005</v>
      </c>
      <c r="H22" s="18">
        <f>150077.03+1255.9-12964.13-183407.76</f>
        <v>-45038.960000000021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47147.12</v>
      </c>
      <c r="G24" s="18">
        <v>48595.199999999997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45995.69+808.77</f>
        <v>46804.46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-1099.27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1.34</v>
      </c>
      <c r="G30" s="18">
        <v>10482.02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92853.65</v>
      </c>
      <c r="G32" s="41">
        <f>SUM(G22:G31)</f>
        <v>-7003.7700000000077</v>
      </c>
      <c r="H32" s="41">
        <f>SUM(H22:H31)</f>
        <v>-45038.960000000021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94562.81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500000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760379.53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26115.02</v>
      </c>
      <c r="H49" s="18">
        <f>248.1+12964.13+183407.76</f>
        <v>196619.99000000002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846373.69-87608.21</f>
        <v>758765.48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1528328.29</v>
      </c>
      <c r="G51" s="41">
        <f>SUM(G35:G50)</f>
        <v>26115.02</v>
      </c>
      <c r="H51" s="41">
        <f>SUM(H35:H50)</f>
        <v>196619.99000000002</v>
      </c>
      <c r="I51" s="41">
        <f>SUM(I35:I50)</f>
        <v>0</v>
      </c>
      <c r="J51" s="41">
        <f>SUM(J35:J50)</f>
        <v>760379.53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1621181.94</v>
      </c>
      <c r="G52" s="41">
        <f>G51+G32</f>
        <v>19111.249999999993</v>
      </c>
      <c r="H52" s="41">
        <f>H51+H32</f>
        <v>151581.03</v>
      </c>
      <c r="I52" s="41">
        <f>I51+I32</f>
        <v>0</v>
      </c>
      <c r="J52" s="41">
        <f>J51+J32</f>
        <v>760379.53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17967799.07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17967799.07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>
        <v>49188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>
        <v>49212.5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19540.78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19540.78</v>
      </c>
      <c r="G79" s="45" t="s">
        <v>286</v>
      </c>
      <c r="H79" s="41">
        <f>SUM(H63:H78)</f>
        <v>98400.5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18919.439999999999</v>
      </c>
      <c r="G96" s="18"/>
      <c r="H96" s="18"/>
      <c r="I96" s="18">
        <v>-7789.24</v>
      </c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184338+16406+16436+5585</f>
        <v>222765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1731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139861.10999999999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39687.86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60338.3</v>
      </c>
      <c r="G111" s="41">
        <f>SUM(G96:G110)</f>
        <v>222765</v>
      </c>
      <c r="H111" s="41">
        <f>SUM(H96:H110)</f>
        <v>139861.10999999999</v>
      </c>
      <c r="I111" s="41">
        <f>SUM(I96:I110)</f>
        <v>-7789.24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18047678.150000002</v>
      </c>
      <c r="G112" s="41">
        <f>G60+G111</f>
        <v>222765</v>
      </c>
      <c r="H112" s="41">
        <f>H60+H79+H94+H111</f>
        <v>238261.61</v>
      </c>
      <c r="I112" s="41">
        <f>I60+I111</f>
        <v>-7789.24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4068325.88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2484859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8071.93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6561256.8099999996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216780.02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179047.09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26097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6238.56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1881.07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423805.18</v>
      </c>
      <c r="G136" s="41">
        <f>SUM(G123:G135)</f>
        <v>6238.56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6985061.9899999993</v>
      </c>
      <c r="G140" s="41">
        <f>G121+SUM(G136:G137)</f>
        <v>6238.56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191210.95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102329.84+21233</f>
        <v>123562.84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302708.43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297707.59999999998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187578.51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187578.51</v>
      </c>
      <c r="G162" s="41">
        <f>SUM(G150:G161)</f>
        <v>302708.43</v>
      </c>
      <c r="H162" s="41">
        <f>SUM(H150:H161)</f>
        <v>612481.39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2456.7600000000002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190035.27000000002</v>
      </c>
      <c r="G169" s="41">
        <f>G147+G162+SUM(G163:G168)</f>
        <v>302708.43</v>
      </c>
      <c r="H169" s="41">
        <f>H147+H162+SUM(H163:H168)</f>
        <v>612481.39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125497.72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125497.72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125497.72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25348273.129999999</v>
      </c>
      <c r="G193" s="47">
        <f>G112+G140+G169+G192</f>
        <v>531711.99</v>
      </c>
      <c r="H193" s="47">
        <f>H112+H140+H169+H192</f>
        <v>850743</v>
      </c>
      <c r="I193" s="47">
        <f>I112+I140+I169+I192</f>
        <v>-7789.24</v>
      </c>
      <c r="J193" s="47">
        <f>J112+J140+J192</f>
        <v>150000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1123361.78+806632.89+12564+1662965.28+2240.61+166039.1+132832.08+126.51+216683.48+0.9</f>
        <v>4123446.63</v>
      </c>
      <c r="G197" s="18">
        <f>1083382.23+70708.73+294799.83+2762.32+634422.11+99211.13+11447.53+68925.68</f>
        <v>2265659.56</v>
      </c>
      <c r="H197" s="18">
        <f>9039.57+6647.83+41179.45-2.01</f>
        <v>56864.84</v>
      </c>
      <c r="I197" s="18">
        <f>94948.03+8692.06+14807.59+14186.31+277.78</f>
        <v>132911.76999999999</v>
      </c>
      <c r="J197" s="18">
        <f>36144.61+112427.8+2</f>
        <v>148574.41</v>
      </c>
      <c r="K197" s="18">
        <f>4340.81</f>
        <v>4340.8100000000004</v>
      </c>
      <c r="L197" s="19">
        <f>SUM(F197:K197)</f>
        <v>6731798.0199999986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718036.11+1008184.31+449939.13+31668.13</f>
        <v>2207827.6799999997</v>
      </c>
      <c r="G198" s="18">
        <f>676298.32+44315.06+128477.21+72731.08+124651.1+189915.45+6127.16</f>
        <v>1242515.3799999997</v>
      </c>
      <c r="H198" s="18">
        <f>564924.09+46181.37-31658.51</f>
        <v>579446.94999999995</v>
      </c>
      <c r="I198" s="18">
        <f>2346.75+1256.92+5565.48+35</f>
        <v>9204.15</v>
      </c>
      <c r="J198" s="18">
        <f>1865.65</f>
        <v>1865.65</v>
      </c>
      <c r="K198" s="18"/>
      <c r="L198" s="19">
        <f>SUM(F198:K198)</f>
        <v>4040859.8099999996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23256</f>
        <v>23256</v>
      </c>
      <c r="G200" s="18">
        <f>1776.36+631.56</f>
        <v>2407.92</v>
      </c>
      <c r="H200" s="18">
        <f>3132.5+655+4000</f>
        <v>7787.5</v>
      </c>
      <c r="I200" s="18">
        <f>129.52</f>
        <v>129.52000000000001</v>
      </c>
      <c r="J200" s="18"/>
      <c r="K200" s="18">
        <f>505</f>
        <v>505</v>
      </c>
      <c r="L200" s="19">
        <f>SUM(F200:K200)</f>
        <v>34085.939999999995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199519.39+187736</f>
        <v>387255.39</v>
      </c>
      <c r="G202" s="18">
        <f>55679.41+2400.64+14969.78+34636.6+42487.94+3575.88+13991.63+32590.76</f>
        <v>200332.64</v>
      </c>
      <c r="H202" s="18">
        <f>105+343493.72</f>
        <v>343598.72</v>
      </c>
      <c r="I202" s="18">
        <f>303.87+3965.18</f>
        <v>4269.05</v>
      </c>
      <c r="J202" s="18"/>
      <c r="K202" s="18">
        <v>9485.84</v>
      </c>
      <c r="L202" s="19">
        <f t="shared" ref="L202:L208" si="0">SUM(F202:K202)</f>
        <v>944941.64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182247+21255.18</f>
        <v>203502.18</v>
      </c>
      <c r="G203" s="18">
        <f>51528.18+3118.72+14923.92+31638.03</f>
        <v>101208.85</v>
      </c>
      <c r="H203" s="18">
        <f>35088.84</f>
        <v>35088.839999999997</v>
      </c>
      <c r="I203" s="18">
        <f>2059.68+21715.5+27179.6</f>
        <v>50954.78</v>
      </c>
      <c r="J203" s="18">
        <f>280</f>
        <v>280</v>
      </c>
      <c r="K203" s="18"/>
      <c r="L203" s="19">
        <f t="shared" si="0"/>
        <v>391034.65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3640+2161.25+1750+73470.82+396020.28</f>
        <v>477042.35000000003</v>
      </c>
      <c r="G204" s="18">
        <f>278.5+227.02+133.87+15923.56+176157.04</f>
        <v>192719.99000000002</v>
      </c>
      <c r="H204" s="18">
        <f>12395.47+31151.62+172162.69</f>
        <v>215709.78</v>
      </c>
      <c r="I204" s="18">
        <f>5733.73+84032.75</f>
        <v>89766.48</v>
      </c>
      <c r="J204" s="18">
        <f>125.96</f>
        <v>125.96</v>
      </c>
      <c r="K204" s="18">
        <f>3618.48+6347.19</f>
        <v>9965.67</v>
      </c>
      <c r="L204" s="19">
        <f t="shared" si="0"/>
        <v>985330.2300000001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269053.98+191997.07+72100</f>
        <v>533151.05000000005</v>
      </c>
      <c r="G205" s="18">
        <f>139646.9+8859.62+39763.64+22950.87+58122.84+8664</f>
        <v>278007.87</v>
      </c>
      <c r="H205" s="18">
        <f>1839.51+32067.32+3749.96+1825.87+1042.5</f>
        <v>40525.160000000003</v>
      </c>
      <c r="I205" s="18">
        <f>2206.29</f>
        <v>2206.29</v>
      </c>
      <c r="J205" s="18">
        <v>0</v>
      </c>
      <c r="K205" s="18">
        <v>1674.89</v>
      </c>
      <c r="L205" s="19">
        <f t="shared" si="0"/>
        <v>855565.26000000013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266625.75+60810.04</f>
        <v>327435.78999999998</v>
      </c>
      <c r="G207" s="18">
        <f>102987.29+5117.95+20018.17+27219.92+21987.63</f>
        <v>177330.96</v>
      </c>
      <c r="H207" s="18">
        <f>13931.52+20069.21+73000.01+3433+53579.74+11267.58+38473.8+49009.42-257.62-420.78+4928.5</f>
        <v>267014.38</v>
      </c>
      <c r="I207" s="18">
        <f>35984.73+78155.54+2610.15+20426.27+39443.76+1411.99+600+8731.23</f>
        <v>187363.66999999998</v>
      </c>
      <c r="J207" s="18">
        <f>31606.71+6936.92</f>
        <v>38543.629999999997</v>
      </c>
      <c r="K207" s="18"/>
      <c r="L207" s="19">
        <f t="shared" si="0"/>
        <v>997688.43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6547.4+21013.28+712333.05+31658.51</f>
        <v>771552.24000000011</v>
      </c>
      <c r="I208" s="18"/>
      <c r="J208" s="18"/>
      <c r="K208" s="18"/>
      <c r="L208" s="19">
        <f t="shared" si="0"/>
        <v>771552.24000000011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>
        <v>5232.63</v>
      </c>
      <c r="L209" s="19">
        <f>SUM(F209:K209)</f>
        <v>5232.63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8282917.0699999984</v>
      </c>
      <c r="G211" s="41">
        <f t="shared" si="1"/>
        <v>4460183.17</v>
      </c>
      <c r="H211" s="41">
        <f t="shared" si="1"/>
        <v>2317588.41</v>
      </c>
      <c r="I211" s="41">
        <f t="shared" si="1"/>
        <v>476805.7099999999</v>
      </c>
      <c r="J211" s="41">
        <f t="shared" si="1"/>
        <v>189389.65</v>
      </c>
      <c r="K211" s="41">
        <f t="shared" si="1"/>
        <v>31204.84</v>
      </c>
      <c r="L211" s="41">
        <f t="shared" si="1"/>
        <v>15758088.85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41334+1494925.02+19440.05+58660.69+92864.35</f>
        <v>1707224.11</v>
      </c>
      <c r="G233" s="18">
        <f>483091.19+35029.53+119618.92+9189.43+263618.07+42519.06+4906.09+29539.58</f>
        <v>987511.87000000011</v>
      </c>
      <c r="H233" s="18">
        <f>858.21+15076.01+1500+17648.33</f>
        <v>35082.550000000003</v>
      </c>
      <c r="I233" s="18">
        <f>50319.57+4568.06+38760.14+7472.04+119.05</f>
        <v>101238.85999999999</v>
      </c>
      <c r="J233" s="18">
        <f>5026.11+14279.97+16780.7+48183.34</f>
        <v>84270.12</v>
      </c>
      <c r="K233" s="18">
        <f>6662</f>
        <v>6662</v>
      </c>
      <c r="L233" s="19">
        <f>SUM(F233:K233)</f>
        <v>2921989.5100000002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244651.5+200709.55+192831.05+13572.05</f>
        <v>651764.15</v>
      </c>
      <c r="G234" s="18">
        <f>228639.58+12926.2+32438.87+18625.34+42471.51+81392.33+2625.92</f>
        <v>419119.75000000006</v>
      </c>
      <c r="H234" s="18">
        <f>17351+243152.22+132756.94+242110.32+19792.01</f>
        <v>655162.49</v>
      </c>
      <c r="I234" s="18">
        <f>1664.26+234.24+2385.21+15</f>
        <v>4298.71</v>
      </c>
      <c r="J234" s="18">
        <f>799.56</f>
        <v>799.56</v>
      </c>
      <c r="K234" s="18" t="s">
        <v>284</v>
      </c>
      <c r="L234" s="19">
        <f>SUM(F234:K234)</f>
        <v>1731144.6600000001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348389.2</f>
        <v>348389.2</v>
      </c>
      <c r="I235" s="18"/>
      <c r="J235" s="18"/>
      <c r="K235" s="18"/>
      <c r="L235" s="19">
        <f>SUM(F235:K235)</f>
        <v>348389.2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76310</f>
        <v>76310</v>
      </c>
      <c r="G236" s="18">
        <f>5902.33+517.78+1124.25</f>
        <v>7544.36</v>
      </c>
      <c r="H236" s="18">
        <f>25607+80534.5+15613.88</f>
        <v>121755.38</v>
      </c>
      <c r="I236" s="18">
        <f>13044.17</f>
        <v>13044.17</v>
      </c>
      <c r="J236" s="18">
        <f>13602.59</f>
        <v>13602.59</v>
      </c>
      <c r="K236" s="18">
        <f>6860</f>
        <v>6860</v>
      </c>
      <c r="L236" s="19">
        <f>SUM(F236:K236)</f>
        <v>239116.5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181155+64307</f>
        <v>245462</v>
      </c>
      <c r="G238" s="18">
        <f>45651.43+5012.04+13674.52+31448.52+24407.46+1670.68+4783.06+11163.63</f>
        <v>137811.34</v>
      </c>
      <c r="H238" s="18">
        <f>1224+556.09+147211.59</f>
        <v>148991.67999999999</v>
      </c>
      <c r="I238" s="18">
        <f>648.08+161.17+986.66</f>
        <v>1795.9099999999999</v>
      </c>
      <c r="J238" s="18">
        <f>389</f>
        <v>389</v>
      </c>
      <c r="K238" s="18">
        <f>4065.36</f>
        <v>4065.36</v>
      </c>
      <c r="L238" s="19">
        <f t="shared" ref="L238:L244" si="4">SUM(F238:K238)</f>
        <v>538515.29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41332+15718.85</f>
        <v>57050.85</v>
      </c>
      <c r="G239" s="18">
        <f>14395.39+1644.56+4308.2+7175.25</f>
        <v>27523.399999999998</v>
      </c>
      <c r="H239" s="18">
        <f>15038.08</f>
        <v>15038.08</v>
      </c>
      <c r="I239" s="18">
        <f>1490.69+12407.44+250+11648.4</f>
        <v>25796.53</v>
      </c>
      <c r="J239" s="18">
        <f>505.11</f>
        <v>505.11</v>
      </c>
      <c r="K239" s="18"/>
      <c r="L239" s="19">
        <f t="shared" si="4"/>
        <v>125913.97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1560+926.25+750+31487.5+169722.98</f>
        <v>204446.73</v>
      </c>
      <c r="G240" s="18">
        <f>119.36+97.3+57.37+6824.38+75495.88</f>
        <v>82594.290000000008</v>
      </c>
      <c r="H240" s="18">
        <f>5312.35+13350.7+73784.01</f>
        <v>92447.06</v>
      </c>
      <c r="I240" s="18">
        <f>2457.31+36014.03</f>
        <v>38471.339999999997</v>
      </c>
      <c r="J240" s="18">
        <v>53.99</v>
      </c>
      <c r="K240" s="18">
        <f>1550.78+2720.23</f>
        <v>4271.01</v>
      </c>
      <c r="L240" s="19">
        <f t="shared" si="4"/>
        <v>422284.42000000004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8000+95023+105242.79+75000</f>
        <v>283265.78999999998</v>
      </c>
      <c r="G241" s="18">
        <f>101109.27+6193.62+21126.86+11976.75+30904.76+7581</f>
        <v>178892.26</v>
      </c>
      <c r="H241" s="18">
        <f>2639.16+13318.38+2728.89+3570</f>
        <v>22256.43</v>
      </c>
      <c r="I241" s="18">
        <f>5189.73</f>
        <v>5189.7299999999996</v>
      </c>
      <c r="J241" s="18">
        <v>0</v>
      </c>
      <c r="K241" s="18">
        <v>0</v>
      </c>
      <c r="L241" s="19">
        <f t="shared" si="4"/>
        <v>489604.20999999996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188700.36+26061.45</f>
        <v>214761.81</v>
      </c>
      <c r="G243" s="18">
        <f>61020.44+2901.85+13977.95+21470.55+9423.27</f>
        <v>108794.06000000001</v>
      </c>
      <c r="H243" s="18">
        <f>1202+12505.06+42233.35+3297.07+34813.98+9256.73+38473.8+21004.04-180.33+2112.21</f>
        <v>164717.91</v>
      </c>
      <c r="I243" s="18">
        <f>20669.93+78877.09+4248.71+10338.96+33605.28+1080.18+1984.08+3741.96</f>
        <v>154546.18999999997</v>
      </c>
      <c r="J243" s="18">
        <f>4299.33+2973.83</f>
        <v>7273.16</v>
      </c>
      <c r="K243" s="18"/>
      <c r="L243" s="19">
        <f t="shared" si="4"/>
        <v>650093.13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79231.7+35301.96+9777.55+148856.48+156429.12</f>
        <v>429596.81</v>
      </c>
      <c r="I244" s="18"/>
      <c r="J244" s="18"/>
      <c r="K244" s="18"/>
      <c r="L244" s="19">
        <f t="shared" si="4"/>
        <v>429596.81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f>2242.55</f>
        <v>2242.5500000000002</v>
      </c>
      <c r="I245" s="18"/>
      <c r="J245" s="18"/>
      <c r="K245" s="18"/>
      <c r="L245" s="19">
        <f>SUM(F245:K245)</f>
        <v>2242.5500000000002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3440285.4400000004</v>
      </c>
      <c r="G247" s="41">
        <f t="shared" si="5"/>
        <v>1949791.3300000003</v>
      </c>
      <c r="H247" s="41">
        <f t="shared" si="5"/>
        <v>2035680.1400000001</v>
      </c>
      <c r="I247" s="41">
        <f t="shared" si="5"/>
        <v>344381.43999999994</v>
      </c>
      <c r="J247" s="41">
        <f t="shared" si="5"/>
        <v>106893.53</v>
      </c>
      <c r="K247" s="41">
        <f t="shared" si="5"/>
        <v>21858.370000000003</v>
      </c>
      <c r="L247" s="41">
        <f t="shared" si="5"/>
        <v>7898890.2499999991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>
        <v>125205.14</v>
      </c>
      <c r="K255" s="18"/>
      <c r="L255" s="19">
        <f t="shared" si="6"/>
        <v>125205.14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125205.14</v>
      </c>
      <c r="K256" s="41">
        <f t="shared" si="7"/>
        <v>0</v>
      </c>
      <c r="L256" s="41">
        <f>SUM(F256:K256)</f>
        <v>125205.14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11723202.509999998</v>
      </c>
      <c r="G257" s="41">
        <f t="shared" si="8"/>
        <v>6409974.5</v>
      </c>
      <c r="H257" s="41">
        <f t="shared" si="8"/>
        <v>4353268.5500000007</v>
      </c>
      <c r="I257" s="41">
        <f t="shared" si="8"/>
        <v>821187.14999999991</v>
      </c>
      <c r="J257" s="41">
        <f t="shared" si="8"/>
        <v>421488.32</v>
      </c>
      <c r="K257" s="41">
        <f t="shared" si="8"/>
        <v>53063.210000000006</v>
      </c>
      <c r="L257" s="41">
        <f t="shared" si="8"/>
        <v>23782184.239999998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f>100081.03+555059.88</f>
        <v>655140.91</v>
      </c>
      <c r="L260" s="19">
        <f>SUM(F260:K260)</f>
        <v>655140.91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f>45161.47+803394.72</f>
        <v>848556.19</v>
      </c>
      <c r="L261" s="19">
        <f>SUM(F261:K261)</f>
        <v>848556.19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150000</v>
      </c>
      <c r="L266" s="19">
        <f t="shared" si="9"/>
        <v>150000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1653697.1</v>
      </c>
      <c r="L270" s="41">
        <f t="shared" si="9"/>
        <v>1653697.1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11723202.509999998</v>
      </c>
      <c r="G271" s="42">
        <f t="shared" si="11"/>
        <v>6409974.5</v>
      </c>
      <c r="H271" s="42">
        <f t="shared" si="11"/>
        <v>4353268.5500000007</v>
      </c>
      <c r="I271" s="42">
        <f t="shared" si="11"/>
        <v>821187.14999999991</v>
      </c>
      <c r="J271" s="42">
        <f t="shared" si="11"/>
        <v>421488.32</v>
      </c>
      <c r="K271" s="42">
        <f t="shared" si="11"/>
        <v>1706760.31</v>
      </c>
      <c r="L271" s="42">
        <f t="shared" si="11"/>
        <v>25435881.34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4594.5+8424+2000+52000</f>
        <v>67018.5</v>
      </c>
      <c r="G276" s="18">
        <f>351.48+797.61+635.27+151.21+347.2</f>
        <v>2282.77</v>
      </c>
      <c r="H276" s="18">
        <f>124.5+895.6+5031.48+1700+2130+12358.56+4393.04+15469-5619.69</f>
        <v>36482.49</v>
      </c>
      <c r="I276" s="18">
        <f>1715.96+401.93+18.4+156.13+122.17</f>
        <v>2414.59</v>
      </c>
      <c r="J276" s="18">
        <f>2666.76+11592.48+1081.7+21874</f>
        <v>37214.94</v>
      </c>
      <c r="K276" s="18">
        <f>630.33+3870.53</f>
        <v>4500.8600000000006</v>
      </c>
      <c r="L276" s="19">
        <f>SUM(F276:K276)</f>
        <v>149914.15000000002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56576.13+2762.76+4290.93+18329.86</f>
        <v>81959.679999999993</v>
      </c>
      <c r="G277" s="18">
        <f>17113.48+362.06+351.45+3699.7</f>
        <v>21526.690000000002</v>
      </c>
      <c r="H277" s="18">
        <f>73006.07+17550.81</f>
        <v>90556.88</v>
      </c>
      <c r="I277" s="18">
        <f>3983.55+176.3+7237.58</f>
        <v>11397.43</v>
      </c>
      <c r="J277" s="18">
        <f>2954.64</f>
        <v>2954.64</v>
      </c>
      <c r="K277" s="18"/>
      <c r="L277" s="19">
        <f>SUM(F277:K277)</f>
        <v>208395.32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f>85407.58</f>
        <v>85407.58</v>
      </c>
      <c r="G281" s="18">
        <f>6439.45</f>
        <v>6439.45</v>
      </c>
      <c r="H281" s="18">
        <f>26239.36+9279.9</f>
        <v>35519.26</v>
      </c>
      <c r="I281" s="18">
        <f>776.88</f>
        <v>776.88</v>
      </c>
      <c r="J281" s="18"/>
      <c r="K281" s="18"/>
      <c r="L281" s="19">
        <f t="shared" ref="L281:L287" si="12">SUM(F281:K281)</f>
        <v>128143.17000000001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10000</f>
        <v>10000</v>
      </c>
      <c r="G282" s="18">
        <f>740.16+1736</f>
        <v>2476.16</v>
      </c>
      <c r="H282" s="18">
        <f>15469+20157.63+39945.75+3750</f>
        <v>79322.38</v>
      </c>
      <c r="I282" s="18">
        <f>1212.46+510.03</f>
        <v>1722.49</v>
      </c>
      <c r="J282" s="18"/>
      <c r="K282" s="18"/>
      <c r="L282" s="19">
        <f t="shared" si="12"/>
        <v>93521.030000000013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2800</f>
        <v>2800</v>
      </c>
      <c r="G283" s="18">
        <f>696.39</f>
        <v>696.39</v>
      </c>
      <c r="H283" s="18"/>
      <c r="I283" s="18"/>
      <c r="J283" s="18"/>
      <c r="K283" s="18"/>
      <c r="L283" s="19">
        <f t="shared" si="12"/>
        <v>3496.39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13158.38</f>
        <v>13158.38</v>
      </c>
      <c r="I287" s="18"/>
      <c r="J287" s="18"/>
      <c r="K287" s="18"/>
      <c r="L287" s="19">
        <f t="shared" si="12"/>
        <v>13158.38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247185.76</v>
      </c>
      <c r="G290" s="42">
        <f t="shared" si="13"/>
        <v>33421.460000000006</v>
      </c>
      <c r="H290" s="42">
        <f t="shared" si="13"/>
        <v>255039.39</v>
      </c>
      <c r="I290" s="42">
        <f t="shared" si="13"/>
        <v>16311.39</v>
      </c>
      <c r="J290" s="42">
        <f t="shared" si="13"/>
        <v>40169.58</v>
      </c>
      <c r="K290" s="42">
        <f t="shared" si="13"/>
        <v>4500.8600000000006</v>
      </c>
      <c r="L290" s="41">
        <f t="shared" si="13"/>
        <v>596628.44000000006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16695+16206</f>
        <v>32901</v>
      </c>
      <c r="G314" s="18">
        <f>2480.78+284.52+2898.26</f>
        <v>5663.56</v>
      </c>
      <c r="H314" s="18">
        <f>11120.1+43947+911.59+3274.72+7039.7-13112.72</f>
        <v>53180.39</v>
      </c>
      <c r="I314" s="18">
        <f>2306.94+1620.94+3747.64+52.36</f>
        <v>7727.88</v>
      </c>
      <c r="J314" s="18">
        <f>4915.44+9374.57</f>
        <v>14290.009999999998</v>
      </c>
      <c r="K314" s="18">
        <f>1658.8</f>
        <v>1658.8</v>
      </c>
      <c r="L314" s="19">
        <f>SUM(F314:K314)</f>
        <v>115421.64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24246.91+1184.04+1838.97+7855.66</f>
        <v>35125.58</v>
      </c>
      <c r="G315" s="18">
        <f>7334.35+155.17+150.62+1585.59</f>
        <v>9225.73</v>
      </c>
      <c r="H315" s="18">
        <f>31288.32+7521.77</f>
        <v>38810.089999999997</v>
      </c>
      <c r="I315" s="18">
        <f>92.43+1707.23+75.56+3101.82</f>
        <v>4977.04</v>
      </c>
      <c r="J315" s="18">
        <f>711.29+554.99</f>
        <v>1266.28</v>
      </c>
      <c r="K315" s="18"/>
      <c r="L315" s="19">
        <f>SUM(F315:K315)</f>
        <v>89404.719999999987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>
        <f>2178.33</f>
        <v>2178.33</v>
      </c>
      <c r="I317" s="18">
        <f>625</f>
        <v>625</v>
      </c>
      <c r="J317" s="18"/>
      <c r="K317" s="18"/>
      <c r="L317" s="19">
        <f>SUM(F317:K317)</f>
        <v>2803.33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f>3977.1</f>
        <v>3977.1</v>
      </c>
      <c r="I319" s="18"/>
      <c r="J319" s="18"/>
      <c r="K319" s="18"/>
      <c r="L319" s="19">
        <f t="shared" ref="L319:L325" si="16">SUM(F319:K319)</f>
        <v>3977.1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f>8638.99+17119.61+8750</f>
        <v>34508.6</v>
      </c>
      <c r="I320" s="18">
        <f>519.63+218.59</f>
        <v>738.22</v>
      </c>
      <c r="J320" s="18"/>
      <c r="K320" s="18"/>
      <c r="L320" s="19">
        <f t="shared" si="16"/>
        <v>35246.82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1200</f>
        <v>1200</v>
      </c>
      <c r="G321" s="18">
        <f>301.46</f>
        <v>301.45999999999998</v>
      </c>
      <c r="H321" s="18"/>
      <c r="I321" s="18"/>
      <c r="J321" s="18"/>
      <c r="K321" s="18"/>
      <c r="L321" s="19">
        <f t="shared" si="16"/>
        <v>1501.46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69226.58</v>
      </c>
      <c r="G328" s="42">
        <f t="shared" si="17"/>
        <v>15190.75</v>
      </c>
      <c r="H328" s="42">
        <f t="shared" si="17"/>
        <v>132654.51</v>
      </c>
      <c r="I328" s="42">
        <f t="shared" si="17"/>
        <v>14068.14</v>
      </c>
      <c r="J328" s="42">
        <f t="shared" si="17"/>
        <v>15556.289999999999</v>
      </c>
      <c r="K328" s="42">
        <f t="shared" si="17"/>
        <v>1658.8</v>
      </c>
      <c r="L328" s="41">
        <f t="shared" si="17"/>
        <v>248355.06999999998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316412.34000000003</v>
      </c>
      <c r="G338" s="41">
        <f t="shared" si="20"/>
        <v>48612.210000000006</v>
      </c>
      <c r="H338" s="41">
        <f t="shared" si="20"/>
        <v>387693.9</v>
      </c>
      <c r="I338" s="41">
        <f t="shared" si="20"/>
        <v>30379.53</v>
      </c>
      <c r="J338" s="41">
        <f t="shared" si="20"/>
        <v>55725.87</v>
      </c>
      <c r="K338" s="41">
        <f t="shared" si="20"/>
        <v>6159.6600000000008</v>
      </c>
      <c r="L338" s="41">
        <f t="shared" si="20"/>
        <v>844983.51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316412.34000000003</v>
      </c>
      <c r="G352" s="41">
        <f>G338</f>
        <v>48612.210000000006</v>
      </c>
      <c r="H352" s="41">
        <f>H338</f>
        <v>387693.9</v>
      </c>
      <c r="I352" s="41">
        <f>I338</f>
        <v>30379.53</v>
      </c>
      <c r="J352" s="41">
        <f>J338</f>
        <v>55725.87</v>
      </c>
      <c r="K352" s="47">
        <f>K338+K351</f>
        <v>6159.6600000000008</v>
      </c>
      <c r="L352" s="41">
        <f>L338+L351</f>
        <v>844983.51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533574*0.7</f>
        <v>373501.8</v>
      </c>
      <c r="I358" s="18"/>
      <c r="J358" s="18"/>
      <c r="K358" s="18"/>
      <c r="L358" s="13">
        <f>SUM(F358:K358)</f>
        <v>373501.8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533574*0.3</f>
        <v>160072.19999999998</v>
      </c>
      <c r="I360" s="18"/>
      <c r="J360" s="18"/>
      <c r="K360" s="18"/>
      <c r="L360" s="19">
        <f>SUM(F360:K360)</f>
        <v>160072.19999999998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533574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533574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f>3870+20000</f>
        <v>23870</v>
      </c>
      <c r="I379" s="18"/>
      <c r="J379" s="18">
        <f>11437.35</f>
        <v>11437.35</v>
      </c>
      <c r="K379" s="18">
        <f>5103.58</f>
        <v>5103.58</v>
      </c>
      <c r="L379" s="13">
        <f t="shared" si="23"/>
        <v>40410.93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23870</v>
      </c>
      <c r="I382" s="41">
        <f t="shared" si="24"/>
        <v>0</v>
      </c>
      <c r="J382" s="47">
        <f t="shared" si="24"/>
        <v>11437.35</v>
      </c>
      <c r="K382" s="47">
        <f t="shared" si="24"/>
        <v>5103.58</v>
      </c>
      <c r="L382" s="47">
        <f t="shared" si="24"/>
        <v>40410.93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75000</v>
      </c>
      <c r="H396" s="18"/>
      <c r="I396" s="18"/>
      <c r="J396" s="24" t="s">
        <v>286</v>
      </c>
      <c r="K396" s="24" t="s">
        <v>286</v>
      </c>
      <c r="L396" s="56">
        <f t="shared" si="26"/>
        <v>75000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/>
      <c r="I397" s="18"/>
      <c r="J397" s="24" t="s">
        <v>286</v>
      </c>
      <c r="K397" s="24" t="s">
        <v>286</v>
      </c>
      <c r="L397" s="56">
        <f t="shared" si="26"/>
        <v>50000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25000</v>
      </c>
      <c r="H399" s="18"/>
      <c r="I399" s="18"/>
      <c r="J399" s="24" t="s">
        <v>286</v>
      </c>
      <c r="K399" s="24" t="s">
        <v>286</v>
      </c>
      <c r="L399" s="56">
        <f t="shared" si="26"/>
        <v>25000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150000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150000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>
        <v>125497.72</v>
      </c>
      <c r="L414" s="56">
        <f t="shared" si="27"/>
        <v>125497.72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125497.72</v>
      </c>
      <c r="L419" s="47">
        <f t="shared" si="28"/>
        <v>125497.72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125497.72</v>
      </c>
      <c r="L434" s="47">
        <f t="shared" si="32"/>
        <v>125497.72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760379.53</v>
      </c>
      <c r="G441" s="18"/>
      <c r="H441" s="18"/>
      <c r="I441" s="56">
        <f t="shared" si="33"/>
        <v>760379.53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760379.53</v>
      </c>
      <c r="G446" s="13">
        <f>SUM(G439:G445)</f>
        <v>0</v>
      </c>
      <c r="H446" s="13">
        <f>SUM(H439:H445)</f>
        <v>0</v>
      </c>
      <c r="I446" s="13">
        <f>SUM(I439:I445)</f>
        <v>760379.53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760379.53</v>
      </c>
      <c r="G459" s="18"/>
      <c r="H459" s="18"/>
      <c r="I459" s="56">
        <f t="shared" si="34"/>
        <v>760379.53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760379.53</v>
      </c>
      <c r="G460" s="83">
        <f>SUM(G454:G459)</f>
        <v>0</v>
      </c>
      <c r="H460" s="83">
        <f>SUM(H454:H459)</f>
        <v>0</v>
      </c>
      <c r="I460" s="83">
        <f>SUM(I454:I459)</f>
        <v>760379.53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760379.53</v>
      </c>
      <c r="G461" s="42">
        <f>G452+G460</f>
        <v>0</v>
      </c>
      <c r="H461" s="42">
        <f>H452+H460</f>
        <v>0</v>
      </c>
      <c r="I461" s="42">
        <f>I452+I460</f>
        <v>760379.53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1615936.5</v>
      </c>
      <c r="G465" s="18">
        <v>27977.03</v>
      </c>
      <c r="H465" s="18">
        <v>190860.5</v>
      </c>
      <c r="I465" s="18">
        <v>48200.17</v>
      </c>
      <c r="J465" s="18">
        <v>730237.7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25348273.13</f>
        <v>25348273.129999999</v>
      </c>
      <c r="G468" s="18">
        <v>531711.99</v>
      </c>
      <c r="H468" s="18">
        <f>612481.39+49188+49212.5+139861.11</f>
        <v>850743</v>
      </c>
      <c r="I468" s="18">
        <f>0.95-7790.19</f>
        <v>-7789.24</v>
      </c>
      <c r="J468" s="18">
        <v>150000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</v>
      </c>
      <c r="G469" s="18"/>
      <c r="H469" s="18"/>
      <c r="I469" s="18"/>
      <c r="J469" s="18">
        <v>9443.69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25348273.129999999</v>
      </c>
      <c r="G470" s="53">
        <f>SUM(G468:G469)</f>
        <v>531711.99</v>
      </c>
      <c r="H470" s="53">
        <f>SUM(H468:H469)</f>
        <v>850743</v>
      </c>
      <c r="I470" s="53">
        <f>SUM(I468:I469)</f>
        <v>-7789.24</v>
      </c>
      <c r="J470" s="53">
        <f>SUM(J468:J469)</f>
        <v>159443.69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25435881.34</v>
      </c>
      <c r="G472" s="18">
        <v>533574</v>
      </c>
      <c r="H472" s="18">
        <f>612481.39+52000+46498.52+134003.6</f>
        <v>844983.51</v>
      </c>
      <c r="I472" s="18">
        <v>40410.93</v>
      </c>
      <c r="J472" s="18">
        <f>125497.72</f>
        <v>125497.72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>
        <f>3804.14</f>
        <v>3804.14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25435881.34</v>
      </c>
      <c r="G474" s="53">
        <f>SUM(G472:G473)</f>
        <v>533574</v>
      </c>
      <c r="H474" s="53">
        <f>SUM(H472:H473)</f>
        <v>844983.51</v>
      </c>
      <c r="I474" s="53">
        <f>SUM(I472:I473)</f>
        <v>40410.93</v>
      </c>
      <c r="J474" s="53">
        <f>SUM(J472:J473)</f>
        <v>129301.86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1528328.2899999991</v>
      </c>
      <c r="G476" s="53">
        <f>(G465+G470)- G474</f>
        <v>26115.020000000019</v>
      </c>
      <c r="H476" s="53">
        <f>(H465+H470)- H474</f>
        <v>196619.99</v>
      </c>
      <c r="I476" s="53">
        <f>(I465+I470)- I474</f>
        <v>0</v>
      </c>
      <c r="J476" s="53">
        <f>(J465+J470)- J474</f>
        <v>760379.52999999991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8" t="s">
        <v>914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>
        <v>25</v>
      </c>
      <c r="H490" s="154">
        <v>25</v>
      </c>
      <c r="I490" s="154">
        <v>25</v>
      </c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915</v>
      </c>
      <c r="G491" s="155" t="s">
        <v>916</v>
      </c>
      <c r="H491" s="154">
        <f>7/2/15</f>
        <v>0.23333333333333334</v>
      </c>
      <c r="I491" s="154">
        <f>1/7/16</f>
        <v>8.9285714285714281E-3</v>
      </c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917</v>
      </c>
      <c r="G492" s="155" t="s">
        <v>918</v>
      </c>
      <c r="H492" s="154">
        <f>7/15/40</f>
        <v>1.1666666666666667E-2</v>
      </c>
      <c r="I492" s="154">
        <f>1/15/41</f>
        <v>1.6260162601626016E-3</v>
      </c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2012334</v>
      </c>
      <c r="G493" s="18">
        <v>4450000</v>
      </c>
      <c r="H493" s="18">
        <v>10000000</v>
      </c>
      <c r="I493" s="18">
        <v>7358000</v>
      </c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2.59</v>
      </c>
      <c r="G494" s="18">
        <v>3.01</v>
      </c>
      <c r="H494" s="18">
        <v>4.12</v>
      </c>
      <c r="I494" s="18">
        <v>4.26</v>
      </c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1740444.8</v>
      </c>
      <c r="G495" s="18">
        <v>3860795.99</v>
      </c>
      <c r="H495" s="18">
        <v>9558257.3599999994</v>
      </c>
      <c r="I495" s="18">
        <v>7123186.0300000003</v>
      </c>
      <c r="J495" s="18"/>
      <c r="K495" s="53">
        <f>SUM(F495:J495)</f>
        <v>22282684.18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100081.03</v>
      </c>
      <c r="G497" s="18">
        <v>121961</v>
      </c>
      <c r="H497" s="18">
        <v>253614.52</v>
      </c>
      <c r="I497" s="18">
        <v>179483.95</v>
      </c>
      <c r="J497" s="18"/>
      <c r="K497" s="53">
        <f t="shared" si="35"/>
        <v>655140.5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1640363.77</v>
      </c>
      <c r="G498" s="204">
        <f>G495-G497</f>
        <v>3738834.99</v>
      </c>
      <c r="H498" s="204">
        <f>H495-H497</f>
        <v>9304642.8399999999</v>
      </c>
      <c r="I498" s="204">
        <f>I495-I497</f>
        <v>6943702.0800000001</v>
      </c>
      <c r="J498" s="204"/>
      <c r="K498" s="205">
        <f t="shared" si="35"/>
        <v>21627543.68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307824.09-45161</f>
        <v>262663.09000000003</v>
      </c>
      <c r="G499" s="18">
        <f>1454960.25-114508</f>
        <v>1340452.25</v>
      </c>
      <c r="H499" s="18">
        <f>5274625.93-388971</f>
        <v>4885654.93</v>
      </c>
      <c r="I499" s="18">
        <f>4319652.57-299916</f>
        <v>4019736.5700000003</v>
      </c>
      <c r="J499" s="18"/>
      <c r="K499" s="53">
        <f t="shared" si="35"/>
        <v>10508506.84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1903026.86</v>
      </c>
      <c r="G500" s="42">
        <f>SUM(G498:G499)</f>
        <v>5079287.24</v>
      </c>
      <c r="H500" s="42">
        <f>SUM(H498:H499)</f>
        <v>14190297.77</v>
      </c>
      <c r="I500" s="42">
        <f>SUM(I498:I499)</f>
        <v>10963438.65</v>
      </c>
      <c r="J500" s="42">
        <f>SUM(J498:J499)</f>
        <v>0</v>
      </c>
      <c r="K500" s="42">
        <f t="shared" si="35"/>
        <v>32136050.520000003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f>109929</f>
        <v>109929</v>
      </c>
      <c r="G501" s="204">
        <v>125645</v>
      </c>
      <c r="H501" s="204">
        <v>264150</v>
      </c>
      <c r="I501" s="204">
        <v>187200</v>
      </c>
      <c r="J501" s="204"/>
      <c r="K501" s="205">
        <f t="shared" si="35"/>
        <v>686924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42507</v>
      </c>
      <c r="G502" s="18">
        <v>110825</v>
      </c>
      <c r="H502" s="18">
        <v>378435</v>
      </c>
      <c r="I502" s="18">
        <v>292200</v>
      </c>
      <c r="J502" s="18"/>
      <c r="K502" s="53">
        <f t="shared" si="35"/>
        <v>823967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152436</v>
      </c>
      <c r="G503" s="42">
        <f>SUM(G501:G502)</f>
        <v>236470</v>
      </c>
      <c r="H503" s="42">
        <f>SUM(H501:H502)</f>
        <v>642585</v>
      </c>
      <c r="I503" s="42">
        <f>SUM(I501:I502)</f>
        <v>479400</v>
      </c>
      <c r="J503" s="42">
        <f>SUM(J501:J502)</f>
        <v>0</v>
      </c>
      <c r="K503" s="42">
        <f t="shared" si="35"/>
        <v>1510891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718036.11+1008184.31+25542.84+19897.34</f>
        <v>1771660.6</v>
      </c>
      <c r="G521" s="18">
        <f>676298.32+44315.06+128477.21+72731.08+124651.1+3460.84+1441.26+3850.98</f>
        <v>1055225.8499999999</v>
      </c>
      <c r="H521" s="18">
        <f>1287.99+19195.49+27269.48+1027.95+284297.16</f>
        <v>333078.06999999995</v>
      </c>
      <c r="I521" s="18">
        <f>2346.75+1256.92+50+3399.33</f>
        <v>7053</v>
      </c>
      <c r="J521" s="18">
        <f>353.57</f>
        <v>353.57</v>
      </c>
      <c r="K521" s="18"/>
      <c r="L521" s="88">
        <f>SUM(F521:K521)</f>
        <v>3167371.09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244651.5+200709.55</f>
        <v>445361.05</v>
      </c>
      <c r="G523" s="18">
        <f>228639.58+12926.2+32438.87+18625.34+42471.51</f>
        <v>335101.50000000006</v>
      </c>
      <c r="H523" s="18">
        <f>17351+243152.22+132756.94+552+440.55+121841.64</f>
        <v>516094.35000000003</v>
      </c>
      <c r="I523" s="18">
        <f>1664.26+234.24+1456.86</f>
        <v>3355.3599999999997</v>
      </c>
      <c r="J523" s="18">
        <f>151.54</f>
        <v>151.54</v>
      </c>
      <c r="K523" s="18"/>
      <c r="L523" s="88">
        <f>SUM(F523:K523)</f>
        <v>1300063.8000000003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2217021.65</v>
      </c>
      <c r="G524" s="108">
        <f t="shared" ref="G524:L524" si="36">SUM(G521:G523)</f>
        <v>1390327.3499999999</v>
      </c>
      <c r="H524" s="108">
        <f t="shared" si="36"/>
        <v>849172.41999999993</v>
      </c>
      <c r="I524" s="108">
        <f t="shared" si="36"/>
        <v>10408.36</v>
      </c>
      <c r="J524" s="108">
        <f t="shared" si="36"/>
        <v>505.11</v>
      </c>
      <c r="K524" s="108">
        <f t="shared" si="36"/>
        <v>0</v>
      </c>
      <c r="L524" s="89">
        <f t="shared" si="36"/>
        <v>4467434.8900000006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307616.91</f>
        <v>307616.90999999997</v>
      </c>
      <c r="G526" s="18">
        <f>190169.86*0.7</f>
        <v>133118.90199999997</v>
      </c>
      <c r="H526" s="18">
        <f>7045.39+604667.39</f>
        <v>611712.78</v>
      </c>
      <c r="I526" s="18">
        <f>1048.36</f>
        <v>1048.3599999999999</v>
      </c>
      <c r="J526" s="18">
        <f>1512.07</f>
        <v>1512.07</v>
      </c>
      <c r="K526" s="18"/>
      <c r="L526" s="88">
        <f>SUM(F526:K526)</f>
        <v>1055009.0220000001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131835.82</f>
        <v>131835.82</v>
      </c>
      <c r="G528" s="18">
        <f>57050.96</f>
        <v>57050.96</v>
      </c>
      <c r="H528" s="18">
        <f>259143.17</f>
        <v>259143.17</v>
      </c>
      <c r="I528" s="18">
        <f>92.43+449.3</f>
        <v>541.73</v>
      </c>
      <c r="J528" s="18">
        <f>648.03</f>
        <v>648.03</v>
      </c>
      <c r="K528" s="18"/>
      <c r="L528" s="88">
        <f>SUM(F528:K528)</f>
        <v>449219.71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439452.73</v>
      </c>
      <c r="G529" s="89">
        <f t="shared" ref="G529:L529" si="37">SUM(G526:G528)</f>
        <v>190169.86199999996</v>
      </c>
      <c r="H529" s="89">
        <f t="shared" si="37"/>
        <v>870855.95000000007</v>
      </c>
      <c r="I529" s="89">
        <f t="shared" si="37"/>
        <v>1590.09</v>
      </c>
      <c r="J529" s="89">
        <f t="shared" si="37"/>
        <v>2160.1</v>
      </c>
      <c r="K529" s="89">
        <f t="shared" si="37"/>
        <v>0</v>
      </c>
      <c r="L529" s="89">
        <f t="shared" si="37"/>
        <v>1504228.7320000001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104978.3</f>
        <v>104978.3</v>
      </c>
      <c r="G531" s="18">
        <f>56796.54</f>
        <v>56796.54</v>
      </c>
      <c r="H531" s="18">
        <f>2257.23</f>
        <v>2257.23</v>
      </c>
      <c r="I531" s="18"/>
      <c r="J531" s="18"/>
      <c r="K531" s="18"/>
      <c r="L531" s="88">
        <f>SUM(F531:K531)</f>
        <v>164032.07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44990.7</f>
        <v>44990.7</v>
      </c>
      <c r="G533" s="18">
        <f>24341.38</f>
        <v>24341.38</v>
      </c>
      <c r="H533" s="18">
        <f>967.39</f>
        <v>967.39</v>
      </c>
      <c r="I533" s="18"/>
      <c r="J533" s="18"/>
      <c r="K533" s="18"/>
      <c r="L533" s="88">
        <f>SUM(F533:K533)</f>
        <v>70299.47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149969</v>
      </c>
      <c r="G534" s="89">
        <f t="shared" ref="G534:L534" si="38">SUM(G531:G533)</f>
        <v>81137.919999999998</v>
      </c>
      <c r="H534" s="89">
        <f t="shared" si="38"/>
        <v>3224.62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234331.54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2061.76*0.7</f>
        <v>1443.232</v>
      </c>
      <c r="I536" s="18"/>
      <c r="J536" s="18"/>
      <c r="K536" s="18"/>
      <c r="L536" s="88">
        <f>SUM(F536:K536)</f>
        <v>1443.232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2061.76*0.3</f>
        <v>618.52800000000002</v>
      </c>
      <c r="I538" s="18"/>
      <c r="J538" s="18"/>
      <c r="K538" s="18"/>
      <c r="L538" s="88">
        <f>SUM(F538:K538)</f>
        <v>618.52800000000002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2061.7600000000002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2061.7600000000002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31658.51+347331.77</f>
        <v>378990.28</v>
      </c>
      <c r="I541" s="18"/>
      <c r="J541" s="18"/>
      <c r="K541" s="18"/>
      <c r="L541" s="88">
        <f>SUM(F541:K541)</f>
        <v>378990.28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148856.48</f>
        <v>148856.48000000001</v>
      </c>
      <c r="I543" s="18"/>
      <c r="J543" s="18"/>
      <c r="K543" s="18"/>
      <c r="L543" s="88">
        <f>SUM(F543:K543)</f>
        <v>148856.48000000001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527846.76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527846.76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2806443.38</v>
      </c>
      <c r="G545" s="89">
        <f t="shared" ref="G545:L545" si="41">G524+G529+G534+G539+G544</f>
        <v>1661635.1319999998</v>
      </c>
      <c r="H545" s="89">
        <f t="shared" si="41"/>
        <v>2253161.5100000002</v>
      </c>
      <c r="I545" s="89">
        <f t="shared" si="41"/>
        <v>11998.45</v>
      </c>
      <c r="J545" s="89">
        <f t="shared" si="41"/>
        <v>2665.21</v>
      </c>
      <c r="K545" s="89">
        <f t="shared" si="41"/>
        <v>0</v>
      </c>
      <c r="L545" s="89">
        <f t="shared" si="41"/>
        <v>6735903.682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3167371.09</v>
      </c>
      <c r="G549" s="87">
        <f>L526</f>
        <v>1055009.0220000001</v>
      </c>
      <c r="H549" s="87">
        <f>L531</f>
        <v>164032.07</v>
      </c>
      <c r="I549" s="87">
        <f>L536</f>
        <v>1443.232</v>
      </c>
      <c r="J549" s="87">
        <f>L541</f>
        <v>378990.28</v>
      </c>
      <c r="K549" s="87">
        <f>SUM(F549:J549)</f>
        <v>4766845.6940000001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1300063.8000000003</v>
      </c>
      <c r="G551" s="87">
        <f>L528</f>
        <v>449219.71</v>
      </c>
      <c r="H551" s="87">
        <f>L533</f>
        <v>70299.47</v>
      </c>
      <c r="I551" s="87">
        <f>L538</f>
        <v>618.52800000000002</v>
      </c>
      <c r="J551" s="87">
        <f>L543</f>
        <v>148856.48000000001</v>
      </c>
      <c r="K551" s="87">
        <f>SUM(F551:J551)</f>
        <v>1969057.9880000001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4467434.8900000006</v>
      </c>
      <c r="G552" s="89">
        <f t="shared" si="42"/>
        <v>1504228.7320000001</v>
      </c>
      <c r="H552" s="89">
        <f t="shared" si="42"/>
        <v>234331.54</v>
      </c>
      <c r="I552" s="89">
        <f t="shared" si="42"/>
        <v>2061.7600000000002</v>
      </c>
      <c r="J552" s="89">
        <f t="shared" si="42"/>
        <v>527846.76</v>
      </c>
      <c r="K552" s="89">
        <f t="shared" si="42"/>
        <v>6735903.682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19195.490000000002</v>
      </c>
      <c r="G575" s="18"/>
      <c r="H575" s="18">
        <v>33000</v>
      </c>
      <c r="I575" s="87">
        <f>SUM(F575:H575)</f>
        <v>52195.490000000005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243152.22</v>
      </c>
      <c r="I576" s="87">
        <f t="shared" ref="I576:I587" si="47">SUM(F576:H576)</f>
        <v>243152.22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 t="s">
        <v>284</v>
      </c>
      <c r="G578" s="18"/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17351</v>
      </c>
      <c r="I579" s="87">
        <f t="shared" si="47"/>
        <v>17351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284297.16+27269.48</f>
        <v>311566.63999999996</v>
      </c>
      <c r="G582" s="18"/>
      <c r="H582" s="18">
        <f>121841.64+132756.94</f>
        <v>254598.58000000002</v>
      </c>
      <c r="I582" s="87">
        <f t="shared" si="47"/>
        <v>566165.22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348389.2</v>
      </c>
      <c r="I585" s="87">
        <f t="shared" si="47"/>
        <v>348389.2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521430.4*0.7</f>
        <v>365001.27999999997</v>
      </c>
      <c r="I591" s="18"/>
      <c r="J591" s="18">
        <f>521430.4*0.3</f>
        <v>156429.12</v>
      </c>
      <c r="K591" s="104">
        <f t="shared" ref="K591:K597" si="48">SUM(H591:J591)</f>
        <v>521430.39999999997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347331.77+31658.51</f>
        <v>378990.28</v>
      </c>
      <c r="I592" s="18"/>
      <c r="J592" s="18">
        <f>148856.48</f>
        <v>148856.48000000001</v>
      </c>
      <c r="K592" s="104">
        <f t="shared" si="48"/>
        <v>527846.76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79231.7</v>
      </c>
      <c r="K593" s="104">
        <f t="shared" si="48"/>
        <v>79231.7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6547.4</v>
      </c>
      <c r="I594" s="18"/>
      <c r="J594" s="18">
        <v>35301.96</v>
      </c>
      <c r="K594" s="104">
        <f t="shared" si="48"/>
        <v>41849.360000000001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6342.67+3459.3+11211.31</f>
        <v>21013.279999999999</v>
      </c>
      <c r="I595" s="18"/>
      <c r="J595" s="18">
        <v>9777.5499999999993</v>
      </c>
      <c r="K595" s="104">
        <f t="shared" si="48"/>
        <v>30790.829999999998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771552.24000000011</v>
      </c>
      <c r="I598" s="108">
        <f>SUM(I591:I597)</f>
        <v>0</v>
      </c>
      <c r="J598" s="108">
        <f>SUM(J591:J597)</f>
        <v>429596.81</v>
      </c>
      <c r="K598" s="108">
        <f>SUM(K591:K597)</f>
        <v>1201149.05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82290.56+112427.8+1865.65+6938.92+2954.64+21874+1081.7+125.96</f>
        <v>229559.23</v>
      </c>
      <c r="I604" s="18"/>
      <c r="J604" s="18">
        <f>59798.25+48183.34+799.56+2973.83+1266.28+9374.57+53.99</f>
        <v>122449.81999999999</v>
      </c>
      <c r="K604" s="104">
        <f>SUM(H604:J604)</f>
        <v>352009.05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229559.23</v>
      </c>
      <c r="I605" s="108">
        <f>SUM(I602:I604)</f>
        <v>0</v>
      </c>
      <c r="J605" s="108">
        <f>SUM(J602:J604)</f>
        <v>122449.81999999999</v>
      </c>
      <c r="K605" s="108">
        <f>SUM(K602:K604)</f>
        <v>352009.05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25342.84+19897.34</f>
        <v>45240.18</v>
      </c>
      <c r="G611" s="18">
        <f>3460.84+1441.26+3850.98+7045.39</f>
        <v>15798.470000000001</v>
      </c>
      <c r="H611" s="18">
        <f>31658.51+27269.48</f>
        <v>58927.99</v>
      </c>
      <c r="I611" s="18">
        <v>50</v>
      </c>
      <c r="J611" s="18"/>
      <c r="K611" s="18"/>
      <c r="L611" s="88">
        <f>SUM(F611:K611)</f>
        <v>120016.64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45240.18</v>
      </c>
      <c r="G614" s="108">
        <f t="shared" si="49"/>
        <v>15798.470000000001</v>
      </c>
      <c r="H614" s="108">
        <f t="shared" si="49"/>
        <v>58927.99</v>
      </c>
      <c r="I614" s="108">
        <f t="shared" si="49"/>
        <v>50</v>
      </c>
      <c r="J614" s="108">
        <f t="shared" si="49"/>
        <v>0</v>
      </c>
      <c r="K614" s="108">
        <f t="shared" si="49"/>
        <v>0</v>
      </c>
      <c r="L614" s="89">
        <f t="shared" si="49"/>
        <v>120016.64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1621181.94</v>
      </c>
      <c r="H617" s="109">
        <f>SUM(F52)</f>
        <v>1621181.94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19111.25</v>
      </c>
      <c r="H618" s="109">
        <f>SUM(G52)</f>
        <v>19111.249999999993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151581.03</v>
      </c>
      <c r="H619" s="109">
        <f>SUM(H52)</f>
        <v>151581.03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760379.53</v>
      </c>
      <c r="H621" s="109">
        <f>SUM(J52)</f>
        <v>760379.53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1528328.29</v>
      </c>
      <c r="H622" s="109">
        <f>F476</f>
        <v>1528328.2899999991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26115.02</v>
      </c>
      <c r="H623" s="109">
        <f>G476</f>
        <v>26115.020000000019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196619.99000000002</v>
      </c>
      <c r="H624" s="109">
        <f>H476</f>
        <v>196619.99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760379.53</v>
      </c>
      <c r="H626" s="109">
        <f>J476</f>
        <v>760379.52999999991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25348273.129999999</v>
      </c>
      <c r="H627" s="104">
        <f>SUM(F468)</f>
        <v>25348273.129999999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531711.99</v>
      </c>
      <c r="H628" s="104">
        <f>SUM(G468)</f>
        <v>531711.99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850743</v>
      </c>
      <c r="H629" s="104">
        <f>SUM(H468)</f>
        <v>850743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-7789.24</v>
      </c>
      <c r="H630" s="104">
        <f>SUM(I468)</f>
        <v>-7789.24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150000</v>
      </c>
      <c r="H631" s="104">
        <f>SUM(J468)</f>
        <v>150000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25435881.34</v>
      </c>
      <c r="H632" s="104">
        <f>SUM(F472)</f>
        <v>25435881.34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844983.51</v>
      </c>
      <c r="H633" s="104">
        <f>SUM(H472)</f>
        <v>844983.51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533574</v>
      </c>
      <c r="H635" s="104">
        <f>SUM(G472)</f>
        <v>533574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40410.93</v>
      </c>
      <c r="H636" s="104">
        <f>SUM(I472)</f>
        <v>40410.93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150000</v>
      </c>
      <c r="H637" s="164">
        <f>SUM(J468)</f>
        <v>150000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125497.72</v>
      </c>
      <c r="H638" s="164">
        <f>SUM(J472)</f>
        <v>125497.72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760379.53</v>
      </c>
      <c r="H639" s="104">
        <f>SUM(F461)</f>
        <v>760379.53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760379.53</v>
      </c>
      <c r="H642" s="104">
        <f>SUM(I461)</f>
        <v>760379.53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150000</v>
      </c>
      <c r="H645" s="104">
        <f>G408</f>
        <v>150000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150000</v>
      </c>
      <c r="H646" s="104">
        <f>L408</f>
        <v>150000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1201149.05</v>
      </c>
      <c r="H647" s="104">
        <f>L208+L226+L244</f>
        <v>1201149.05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352009.05</v>
      </c>
      <c r="H648" s="104">
        <f>(J257+J338)-(J255+J336)</f>
        <v>352009.05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771552.24000000011</v>
      </c>
      <c r="H649" s="104">
        <f>H598</f>
        <v>771552.24000000011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429596.81</v>
      </c>
      <c r="H651" s="104">
        <f>J598</f>
        <v>429596.81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150000</v>
      </c>
      <c r="H655" s="104">
        <f>K266+K347</f>
        <v>150000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16728219.09</v>
      </c>
      <c r="G660" s="19">
        <f>(L229+L309+L359)</f>
        <v>0</v>
      </c>
      <c r="H660" s="19">
        <f>(L247+L328+L360)</f>
        <v>8307317.5199999996</v>
      </c>
      <c r="I660" s="19">
        <f>SUM(F660:H660)</f>
        <v>25035536.609999999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155935.5</v>
      </c>
      <c r="G661" s="19">
        <f>(L359/IF(SUM(L358:L360)=0,1,SUM(L358:L360))*(SUM(G97:G110)))</f>
        <v>0</v>
      </c>
      <c r="H661" s="19">
        <f>(L360/IF(SUM(L358:L360)=0,1,SUM(L358:L360))*(SUM(G97:G110)))</f>
        <v>66829.5</v>
      </c>
      <c r="I661" s="19">
        <f>SUM(F661:H661)</f>
        <v>222765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784710.62000000011</v>
      </c>
      <c r="G662" s="19">
        <f>(L226+L306)-(J226+J306)</f>
        <v>0</v>
      </c>
      <c r="H662" s="19">
        <f>(L244+L325)-(J244+J325)</f>
        <v>429596.81</v>
      </c>
      <c r="I662" s="19">
        <f>SUM(F662:H662)</f>
        <v>1214307.4300000002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680338</v>
      </c>
      <c r="G663" s="199">
        <f>SUM(G575:G587)+SUM(I602:I604)+L612</f>
        <v>0</v>
      </c>
      <c r="H663" s="199">
        <f>SUM(H575:H587)+SUM(J602:J604)+L613</f>
        <v>1018940.82</v>
      </c>
      <c r="I663" s="19">
        <f>SUM(F663:H663)</f>
        <v>1699278.8199999998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15107234.969999999</v>
      </c>
      <c r="G664" s="19">
        <f>G660-SUM(G661:G663)</f>
        <v>0</v>
      </c>
      <c r="H664" s="19">
        <f>H660-SUM(H661:H663)</f>
        <v>6791950.3899999997</v>
      </c>
      <c r="I664" s="19">
        <f>I660-SUM(I661:I663)</f>
        <v>21899185.359999999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795.9</v>
      </c>
      <c r="G665" s="248">
        <v>0</v>
      </c>
      <c r="H665" s="248">
        <v>338.8</v>
      </c>
      <c r="I665" s="19">
        <f>SUM(F665:H665)</f>
        <v>1134.7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18981.32</v>
      </c>
      <c r="G667" s="19" t="e">
        <f>ROUND(G664/G665,2)</f>
        <v>#DIV/0!</v>
      </c>
      <c r="H667" s="19">
        <f>ROUND(H664/H665,2)</f>
        <v>20047.080000000002</v>
      </c>
      <c r="I667" s="19">
        <f>ROUND(I664/I665,2)</f>
        <v>19299.54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-11.56</v>
      </c>
      <c r="I670" s="19">
        <f>SUM(F670:H670)</f>
        <v>-11.56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18981.32</v>
      </c>
      <c r="G672" s="19" t="e">
        <f>ROUND((G664+G669)/(G665+G670),2)</f>
        <v>#DIV/0!</v>
      </c>
      <c r="H672" s="19">
        <f>ROUND((H664+H669)/(H665+H670),2)</f>
        <v>20755.259999999998</v>
      </c>
      <c r="I672" s="19">
        <f>ROUND((I664+I669)/(I665+I670),2)</f>
        <v>19498.18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Mascoma Valley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5930590.2400000002</v>
      </c>
      <c r="C9" s="229">
        <f>'DOE25'!G197+'DOE25'!G215+'DOE25'!G233+'DOE25'!G276+'DOE25'!G295+'DOE25'!G314</f>
        <v>3261117.7600000002</v>
      </c>
    </row>
    <row r="10" spans="1:3" x14ac:dyDescent="0.2">
      <c r="A10" t="s">
        <v>773</v>
      </c>
      <c r="B10" s="240">
        <f>1123361.78+806632.89+1662965.28+1494925.02+52000+16695</f>
        <v>5156579.9700000007</v>
      </c>
      <c r="C10" s="240">
        <f>395518.07+303511.07+375136.61+444318.9+23163.14+18263.58+28806.44+32553.78+82846.34+61159+124488.14+110803.7+200084.13+143989.79+288690.2+256902.74+1248.98+2898.27</f>
        <v>2894382.88</v>
      </c>
    </row>
    <row r="11" spans="1:3" x14ac:dyDescent="0.2">
      <c r="A11" t="s">
        <v>774</v>
      </c>
      <c r="B11" s="240">
        <f>360126.38+16206</f>
        <v>376332.38</v>
      </c>
      <c r="C11" s="240">
        <f>9216.48+38772.29+475.57+2414.14+153.01+12701.74+10139.84+9.67+4297.97+28.45+1372.43+1309.37+6675.49+1231.8+284.52</f>
        <v>89082.77</v>
      </c>
    </row>
    <row r="12" spans="1:3" x14ac:dyDescent="0.2">
      <c r="A12" t="s">
        <v>775</v>
      </c>
      <c r="B12" s="240">
        <f>47961.66+12783.38+191654.97+10473.48+8976.9+2000+65335+12564+41334+4594.5</f>
        <v>397677.89</v>
      </c>
      <c r="C12" s="240">
        <f>18310.62+1806.66+977.89+547.77+2506.41+948.69+4517.25+635.27+351.48+7152.89+140.4+80.52+2513.94+1285.41+325.5+856.96+388.96+1269.03+6715.33+797.61+161.58+8829.05+966.54+1610.64+3740.8+1705+23297.43+85000+1685.62+61.61+98465.25</f>
        <v>277652.11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5930590.2400000002</v>
      </c>
      <c r="C13" s="231">
        <f>SUM(C10:C12)</f>
        <v>3261117.76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2976677.09</v>
      </c>
      <c r="C18" s="229">
        <f>'DOE25'!G198+'DOE25'!G216+'DOE25'!G234+'DOE25'!G277+'DOE25'!G296+'DOE25'!G315</f>
        <v>1692387.5499999996</v>
      </c>
    </row>
    <row r="19" spans="1:3" x14ac:dyDescent="0.2">
      <c r="A19" t="s">
        <v>773</v>
      </c>
      <c r="B19" s="240">
        <f>1390321.56+25342.84</f>
        <v>1415664.4000000001</v>
      </c>
      <c r="C19" s="240">
        <f>49718.21+63235.88+97114.37+100342.99+2648.2+5281.07+7787.43+6081.9+15441.84+15936.13+21983.9+17803.3+167122.61+3460.84+3850.98</f>
        <v>577809.65</v>
      </c>
    </row>
    <row r="20" spans="1:3" x14ac:dyDescent="0.2">
      <c r="A20" t="s">
        <v>774</v>
      </c>
      <c r="B20" s="240">
        <f>1301535.68+3946.8+6129.9+19897.34</f>
        <v>1331509.72</v>
      </c>
      <c r="C20" s="240">
        <f>77533.94+166243.8+222452.12+128296.59+4071.32+10668.6+13858.44+6844.3+548.18+16546.61+29001.86+29566.87+14635.57+9648.53+27327.36+35755.19+18625.34+301.51+215.72+468.98+33.09+1441.26</f>
        <v>814085.1799999997</v>
      </c>
    </row>
    <row r="21" spans="1:3" x14ac:dyDescent="0.2">
      <c r="A21" t="s">
        <v>775</v>
      </c>
      <c r="B21" s="240">
        <f>49555+99414+54348.45+26185.52</f>
        <v>229502.97</v>
      </c>
      <c r="C21" s="240">
        <f>54810.14+58406.7+40245.04+8564.38+3836.8+3118.72+2623.28+495.44+188+470.18+4156.27+27276.31+6156.93+11394.21+5363.02+22680.91+9727.08+16952.76+8382.14+436.49+9922.63+66.64+145.96+1951.43+2979.9+141.36</f>
        <v>300492.71999999997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2976677.0900000003</v>
      </c>
      <c r="C22" s="231">
        <f>SUM(C19:C21)</f>
        <v>1692387.5499999996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99566</v>
      </c>
      <c r="C36" s="235">
        <f>'DOE25'!G200+'DOE25'!G218+'DOE25'!G236+'DOE25'!G279+'DOE25'!G298+'DOE25'!G317</f>
        <v>9952.2799999999988</v>
      </c>
    </row>
    <row r="37" spans="1:3" x14ac:dyDescent="0.2">
      <c r="A37" t="s">
        <v>773</v>
      </c>
      <c r="B37" s="240">
        <f>99566</f>
        <v>99566</v>
      </c>
      <c r="C37" s="240">
        <f>7678.69+517.78+1755.81</f>
        <v>9952.2799999999988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99566</v>
      </c>
      <c r="C40" s="231">
        <f>SUM(C37:C39)</f>
        <v>9952.2799999999988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12" sqref="G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Mascoma Valley Regional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16047383.639999997</v>
      </c>
      <c r="D5" s="20">
        <f>SUM('DOE25'!L197:L200)+SUM('DOE25'!L215:L218)+SUM('DOE25'!L233:L236)-F5-G5</f>
        <v>15779903.499999996</v>
      </c>
      <c r="E5" s="243"/>
      <c r="F5" s="255">
        <f>SUM('DOE25'!J197:J200)+SUM('DOE25'!J215:J218)+SUM('DOE25'!J233:J236)</f>
        <v>249112.33</v>
      </c>
      <c r="G5" s="53">
        <f>SUM('DOE25'!K197:K200)+SUM('DOE25'!K215:K218)+SUM('DOE25'!K233:K236)</f>
        <v>18367.810000000001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1483456.9300000002</v>
      </c>
      <c r="D6" s="20">
        <f>'DOE25'!L202+'DOE25'!L220+'DOE25'!L238-F6-G6</f>
        <v>1469516.7300000002</v>
      </c>
      <c r="E6" s="243"/>
      <c r="F6" s="255">
        <f>'DOE25'!J202+'DOE25'!J220+'DOE25'!J238</f>
        <v>389</v>
      </c>
      <c r="G6" s="53">
        <f>'DOE25'!K202+'DOE25'!K220+'DOE25'!K238</f>
        <v>13551.2</v>
      </c>
      <c r="H6" s="259"/>
    </row>
    <row r="7" spans="1:9" x14ac:dyDescent="0.2">
      <c r="A7" s="32">
        <v>2200</v>
      </c>
      <c r="B7" t="s">
        <v>828</v>
      </c>
      <c r="C7" s="245">
        <f t="shared" si="0"/>
        <v>516948.62</v>
      </c>
      <c r="D7" s="20">
        <f>'DOE25'!L203+'DOE25'!L221+'DOE25'!L239-F7-G7</f>
        <v>516163.51</v>
      </c>
      <c r="E7" s="243"/>
      <c r="F7" s="255">
        <f>'DOE25'!J203+'DOE25'!J221+'DOE25'!J239</f>
        <v>785.11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1097894.8200000003</v>
      </c>
      <c r="D8" s="243"/>
      <c r="E8" s="20">
        <f>'DOE25'!L204+'DOE25'!L222+'DOE25'!L240-F8-G8-D9-D11</f>
        <v>1083478.1900000004</v>
      </c>
      <c r="F8" s="255">
        <f>'DOE25'!J204+'DOE25'!J222+'DOE25'!J240</f>
        <v>179.95</v>
      </c>
      <c r="G8" s="53">
        <f>'DOE25'!K204+'DOE25'!K222+'DOE25'!K240</f>
        <v>14236.68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36665.97</v>
      </c>
      <c r="D9" s="244">
        <v>36665.97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23800</v>
      </c>
      <c r="D10" s="243"/>
      <c r="E10" s="244">
        <v>23800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273053.86</v>
      </c>
      <c r="D11" s="244">
        <f>137082.13+8339.76+1950.41+1670.68+23122.88+15353.49+51227+2985.86+698.38+1670.68+23122.88+5829.71</f>
        <v>273053.86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1345169.4700000002</v>
      </c>
      <c r="D12" s="20">
        <f>'DOE25'!L205+'DOE25'!L223+'DOE25'!L241-F12-G12</f>
        <v>1343494.5800000003</v>
      </c>
      <c r="E12" s="243"/>
      <c r="F12" s="255">
        <f>'DOE25'!J205+'DOE25'!J223+'DOE25'!J241</f>
        <v>0</v>
      </c>
      <c r="G12" s="53">
        <f>'DOE25'!K205+'DOE25'!K223+'DOE25'!K241</f>
        <v>1674.89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1647781.56</v>
      </c>
      <c r="D14" s="20">
        <f>'DOE25'!L207+'DOE25'!L225+'DOE25'!L243-F14-G14</f>
        <v>1601964.77</v>
      </c>
      <c r="E14" s="243"/>
      <c r="F14" s="255">
        <f>'DOE25'!J207+'DOE25'!J225+'DOE25'!J243</f>
        <v>45816.789999999994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1201149.05</v>
      </c>
      <c r="D15" s="20">
        <f>'DOE25'!L208+'DOE25'!L226+'DOE25'!L244-F15-G15</f>
        <v>1201149.05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7475.18</v>
      </c>
      <c r="D16" s="243"/>
      <c r="E16" s="20">
        <f>'DOE25'!L209+'DOE25'!L227+'DOE25'!L245-F16-G16</f>
        <v>2242.5500000000002</v>
      </c>
      <c r="F16" s="255">
        <f>'DOE25'!J209+'DOE25'!J227+'DOE25'!J245</f>
        <v>0</v>
      </c>
      <c r="G16" s="53">
        <f>'DOE25'!K209+'DOE25'!K227+'DOE25'!K245</f>
        <v>5232.63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125205.14</v>
      </c>
      <c r="D22" s="243"/>
      <c r="E22" s="243"/>
      <c r="F22" s="255">
        <f>'DOE25'!L255+'DOE25'!L336</f>
        <v>125205.14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1503697.1</v>
      </c>
      <c r="D25" s="243"/>
      <c r="E25" s="243"/>
      <c r="F25" s="258"/>
      <c r="G25" s="256"/>
      <c r="H25" s="257">
        <f>'DOE25'!L260+'DOE25'!L261+'DOE25'!L341+'DOE25'!L342</f>
        <v>1503697.1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533574</v>
      </c>
      <c r="D29" s="20">
        <f>'DOE25'!L358+'DOE25'!L359+'DOE25'!L360-'DOE25'!I367-F29-G29</f>
        <v>533574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844983.51</v>
      </c>
      <c r="D31" s="20">
        <f>'DOE25'!L290+'DOE25'!L309+'DOE25'!L328+'DOE25'!L333+'DOE25'!L334+'DOE25'!L335-F31-G31</f>
        <v>783097.98</v>
      </c>
      <c r="E31" s="243"/>
      <c r="F31" s="255">
        <f>'DOE25'!J290+'DOE25'!J309+'DOE25'!J328+'DOE25'!J333+'DOE25'!J334+'DOE25'!J335</f>
        <v>55725.87</v>
      </c>
      <c r="G31" s="53">
        <f>'DOE25'!K290+'DOE25'!K309+'DOE25'!K328+'DOE25'!K333+'DOE25'!K334+'DOE25'!K335</f>
        <v>6159.6600000000008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23538583.949999999</v>
      </c>
      <c r="E33" s="246">
        <f>SUM(E5:E31)</f>
        <v>1109520.7400000005</v>
      </c>
      <c r="F33" s="246">
        <f>SUM(F5:F31)</f>
        <v>477214.19</v>
      </c>
      <c r="G33" s="246">
        <f>SUM(G5:G31)</f>
        <v>59222.87</v>
      </c>
      <c r="H33" s="246">
        <f>SUM(H5:H31)</f>
        <v>1503697.1</v>
      </c>
    </row>
    <row r="35" spans="2:8" ht="12" thickBot="1" x14ac:dyDescent="0.25">
      <c r="B35" s="253" t="s">
        <v>841</v>
      </c>
      <c r="D35" s="254">
        <f>E33</f>
        <v>1109520.7400000005</v>
      </c>
      <c r="E35" s="249"/>
    </row>
    <row r="36" spans="2:8" ht="12" thickTop="1" x14ac:dyDescent="0.2">
      <c r="B36" t="s">
        <v>809</v>
      </c>
      <c r="D36" s="20">
        <f>D33</f>
        <v>23538583.949999999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6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 Valley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1638673.27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-111119.95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760379.53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18325.38</v>
      </c>
      <c r="E12" s="95">
        <f>'DOE25'!H13</f>
        <v>135141.53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93628.62</v>
      </c>
      <c r="D13" s="95">
        <f>'DOE25'!G14</f>
        <v>785.87</v>
      </c>
      <c r="E13" s="95">
        <f>'DOE25'!H14</f>
        <v>1504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14935.5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1621181.94</v>
      </c>
      <c r="D18" s="41">
        <f>SUM(D8:D17)</f>
        <v>19111.25</v>
      </c>
      <c r="E18" s="41">
        <f>SUM(E8:E17)</f>
        <v>151581.03</v>
      </c>
      <c r="F18" s="41">
        <f>SUM(F8:F17)</f>
        <v>0</v>
      </c>
      <c r="G18" s="41">
        <f>SUM(G8:G17)</f>
        <v>760379.53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-66080.990000000005</v>
      </c>
      <c r="E21" s="95">
        <f>'DOE25'!H22</f>
        <v>-45038.960000000021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47147.12</v>
      </c>
      <c r="D23" s="95">
        <f>'DOE25'!G24</f>
        <v>48595.199999999997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46804.46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-1099.27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1.34</v>
      </c>
      <c r="D29" s="95">
        <f>'DOE25'!G30</f>
        <v>10482.02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92853.65</v>
      </c>
      <c r="D31" s="41">
        <f>SUM(D21:D30)</f>
        <v>-7003.7700000000077</v>
      </c>
      <c r="E31" s="41">
        <f>SUM(E21:E30)</f>
        <v>-45038.960000000021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94562.81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500000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760379.53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26115.02</v>
      </c>
      <c r="E48" s="95">
        <f>'DOE25'!H49</f>
        <v>196619.99000000002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758765.48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1528328.29</v>
      </c>
      <c r="D50" s="41">
        <f>SUM(D34:D49)</f>
        <v>26115.02</v>
      </c>
      <c r="E50" s="41">
        <f>SUM(E34:E49)</f>
        <v>196619.99000000002</v>
      </c>
      <c r="F50" s="41">
        <f>SUM(F34:F49)</f>
        <v>0</v>
      </c>
      <c r="G50" s="41">
        <f>SUM(G34:G49)</f>
        <v>760379.53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1621181.94</v>
      </c>
      <c r="D51" s="41">
        <f>D50+D31</f>
        <v>19111.249999999993</v>
      </c>
      <c r="E51" s="41">
        <f>E50+E31</f>
        <v>151581.03</v>
      </c>
      <c r="F51" s="41">
        <f>F50+F31</f>
        <v>0</v>
      </c>
      <c r="G51" s="41">
        <f>G50+G31</f>
        <v>760379.53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17967799.07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19540.78</v>
      </c>
      <c r="D57" s="24" t="s">
        <v>286</v>
      </c>
      <c r="E57" s="95">
        <f>'DOE25'!H79</f>
        <v>98400.5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18919.439999999999</v>
      </c>
      <c r="D59" s="95">
        <f>'DOE25'!G96</f>
        <v>0</v>
      </c>
      <c r="E59" s="95">
        <f>'DOE25'!H96</f>
        <v>0</v>
      </c>
      <c r="F59" s="95">
        <f>'DOE25'!I96</f>
        <v>-7789.24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222765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41418.86</v>
      </c>
      <c r="D61" s="95">
        <f>SUM('DOE25'!G98:G110)</f>
        <v>0</v>
      </c>
      <c r="E61" s="95">
        <f>SUM('DOE25'!H98:H110)</f>
        <v>139861.10999999999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79879.08</v>
      </c>
      <c r="D62" s="130">
        <f>SUM(D57:D61)</f>
        <v>222765</v>
      </c>
      <c r="E62" s="130">
        <f>SUM(E57:E61)</f>
        <v>238261.61</v>
      </c>
      <c r="F62" s="130">
        <f>SUM(F57:F61)</f>
        <v>-7789.24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18047678.149999999</v>
      </c>
      <c r="D63" s="22">
        <f>D56+D62</f>
        <v>222765</v>
      </c>
      <c r="E63" s="22">
        <f>E56+E62</f>
        <v>238261.61</v>
      </c>
      <c r="F63" s="22">
        <f>F56+F62</f>
        <v>-7789.24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4068325.88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2484859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8071.93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6561256.8099999996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216780.02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205144.09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1881.07</v>
      </c>
      <c r="D77" s="95">
        <f>SUM('DOE25'!G131:G135)</f>
        <v>6238.56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423805.18</v>
      </c>
      <c r="D78" s="130">
        <f>SUM(D72:D77)</f>
        <v>6238.56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6985061.9899999993</v>
      </c>
      <c r="D81" s="130">
        <f>SUM(D79:D80)+D78+D70</f>
        <v>6238.56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187578.51</v>
      </c>
      <c r="D88" s="95">
        <f>SUM('DOE25'!G153:G161)</f>
        <v>302708.43</v>
      </c>
      <c r="E88" s="95">
        <f>SUM('DOE25'!H153:H161)</f>
        <v>612481.39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2456.7600000000002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190035.27000000002</v>
      </c>
      <c r="D91" s="131">
        <f>SUM(D85:D90)</f>
        <v>302708.43</v>
      </c>
      <c r="E91" s="131">
        <f>SUM(E85:E90)</f>
        <v>612481.39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125497.72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125497.72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759</v>
      </c>
      <c r="C104" s="86">
        <f>C63+C81+C91+C103</f>
        <v>25348273.129999995</v>
      </c>
      <c r="D104" s="86">
        <f>D63+D81+D91+D103</f>
        <v>531711.99</v>
      </c>
      <c r="E104" s="86">
        <f>E63+E81+E91+E103</f>
        <v>850743</v>
      </c>
      <c r="F104" s="86">
        <f>F63+F81+F91+F103</f>
        <v>-7789.24</v>
      </c>
      <c r="G104" s="86">
        <f>G63+G81+G103</f>
        <v>150000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9653787.5299999993</v>
      </c>
      <c r="D109" s="24" t="s">
        <v>286</v>
      </c>
      <c r="E109" s="95">
        <f>('DOE25'!L276)+('DOE25'!L295)+('DOE25'!L314)</f>
        <v>265335.79000000004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5772004.4699999997</v>
      </c>
      <c r="D110" s="24" t="s">
        <v>286</v>
      </c>
      <c r="E110" s="95">
        <f>('DOE25'!L277)+('DOE25'!L296)+('DOE25'!L315)</f>
        <v>297800.03999999998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348389.2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273202.44</v>
      </c>
      <c r="D112" s="24" t="s">
        <v>286</v>
      </c>
      <c r="E112" s="95">
        <f>+('DOE25'!L279)+('DOE25'!L298)+('DOE25'!L317)</f>
        <v>2803.33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16047383.639999999</v>
      </c>
      <c r="D115" s="86">
        <f>SUM(D109:D114)</f>
        <v>0</v>
      </c>
      <c r="E115" s="86">
        <f>SUM(E109:E114)</f>
        <v>565939.16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1483456.9300000002</v>
      </c>
      <c r="D118" s="24" t="s">
        <v>286</v>
      </c>
      <c r="E118" s="95">
        <f>+('DOE25'!L281)+('DOE25'!L300)+('DOE25'!L319)</f>
        <v>132120.27000000002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516948.62</v>
      </c>
      <c r="D119" s="24" t="s">
        <v>286</v>
      </c>
      <c r="E119" s="95">
        <f>+('DOE25'!L282)+('DOE25'!L301)+('DOE25'!L320)</f>
        <v>128767.85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1407614.6500000001</v>
      </c>
      <c r="D120" s="24" t="s">
        <v>286</v>
      </c>
      <c r="E120" s="95">
        <f>+('DOE25'!L283)+('DOE25'!L302)+('DOE25'!L321)</f>
        <v>4997.8500000000004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1345169.4700000002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1647781.56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1201149.05</v>
      </c>
      <c r="D124" s="24" t="s">
        <v>286</v>
      </c>
      <c r="E124" s="95">
        <f>+('DOE25'!L287)+('DOE25'!L306)+('DOE25'!L325)</f>
        <v>13158.38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7475.18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533574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7609595.46</v>
      </c>
      <c r="D128" s="86">
        <f>SUM(D118:D127)</f>
        <v>533574</v>
      </c>
      <c r="E128" s="86">
        <f>SUM(E118:E127)</f>
        <v>279044.35000000003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125205.14</v>
      </c>
      <c r="D130" s="24" t="s">
        <v>286</v>
      </c>
      <c r="E130" s="129">
        <f>'DOE25'!L336</f>
        <v>0</v>
      </c>
      <c r="F130" s="129">
        <f>SUM('DOE25'!L374:'DOE25'!L380)</f>
        <v>40410.93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655140.91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848556.19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125497.72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150000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1778902.24</v>
      </c>
      <c r="D144" s="141">
        <f>SUM(D130:D143)</f>
        <v>0</v>
      </c>
      <c r="E144" s="141">
        <f>SUM(E130:E143)</f>
        <v>0</v>
      </c>
      <c r="F144" s="141">
        <f>SUM(F130:F143)</f>
        <v>40410.93</v>
      </c>
      <c r="G144" s="141">
        <f>SUM(G130:G143)</f>
        <v>125497.72</v>
      </c>
    </row>
    <row r="145" spans="1:9" ht="12.75" thickTop="1" thickBot="1" x14ac:dyDescent="0.25">
      <c r="A145" s="33" t="s">
        <v>244</v>
      </c>
      <c r="C145" s="86">
        <f>(C115+C128+C144)</f>
        <v>25435881.339999996</v>
      </c>
      <c r="D145" s="86">
        <f>(D115+D128+D144)</f>
        <v>533574</v>
      </c>
      <c r="E145" s="86">
        <f>(E115+E128+E144)</f>
        <v>844983.51</v>
      </c>
      <c r="F145" s="86">
        <f>(F115+F128+F144)</f>
        <v>40410.93</v>
      </c>
      <c r="G145" s="86">
        <f>(G115+G128+G144)</f>
        <v>125497.72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25</v>
      </c>
      <c r="D151" s="153">
        <f>'DOE25'!H490</f>
        <v>25</v>
      </c>
      <c r="E151" s="153">
        <f>'DOE25'!I490</f>
        <v>25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5/2013</v>
      </c>
      <c r="C152" s="152" t="str">
        <f>'DOE25'!G491</f>
        <v>6/12/14</v>
      </c>
      <c r="D152" s="152">
        <f>'DOE25'!H491</f>
        <v>0.23333333333333334</v>
      </c>
      <c r="E152" s="152">
        <f>'DOE25'!I491</f>
        <v>8.9285714285714281E-3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11/20/28</v>
      </c>
      <c r="C153" s="152" t="str">
        <f>'DOE25'!G492</f>
        <v>12/15/39</v>
      </c>
      <c r="D153" s="152">
        <f>'DOE25'!H492</f>
        <v>1.1666666666666667E-2</v>
      </c>
      <c r="E153" s="152">
        <f>'DOE25'!I492</f>
        <v>1.6260162601626016E-3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2012334</v>
      </c>
      <c r="C154" s="137">
        <f>'DOE25'!G493</f>
        <v>4450000</v>
      </c>
      <c r="D154" s="137">
        <f>'DOE25'!H493</f>
        <v>10000000</v>
      </c>
      <c r="E154" s="137">
        <f>'DOE25'!I493</f>
        <v>7358000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2.59</v>
      </c>
      <c r="C155" s="137">
        <f>'DOE25'!G494</f>
        <v>3.01</v>
      </c>
      <c r="D155" s="137">
        <f>'DOE25'!H494</f>
        <v>4.12</v>
      </c>
      <c r="E155" s="137">
        <f>'DOE25'!I494</f>
        <v>4.26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1740444.8</v>
      </c>
      <c r="C156" s="137">
        <f>'DOE25'!G495</f>
        <v>3860795.99</v>
      </c>
      <c r="D156" s="137">
        <f>'DOE25'!H495</f>
        <v>9558257.3599999994</v>
      </c>
      <c r="E156" s="137">
        <f>'DOE25'!I495</f>
        <v>7123186.0300000003</v>
      </c>
      <c r="F156" s="137">
        <f>'DOE25'!J495</f>
        <v>0</v>
      </c>
      <c r="G156" s="138">
        <f>SUM(B156:F156)</f>
        <v>22282684.18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100081.03</v>
      </c>
      <c r="C158" s="137">
        <f>'DOE25'!G497</f>
        <v>121961</v>
      </c>
      <c r="D158" s="137">
        <f>'DOE25'!H497</f>
        <v>253614.52</v>
      </c>
      <c r="E158" s="137">
        <f>'DOE25'!I497</f>
        <v>179483.95</v>
      </c>
      <c r="F158" s="137">
        <f>'DOE25'!J497</f>
        <v>0</v>
      </c>
      <c r="G158" s="138">
        <f t="shared" si="0"/>
        <v>655140.5</v>
      </c>
    </row>
    <row r="159" spans="1:9" x14ac:dyDescent="0.2">
      <c r="A159" s="22" t="s">
        <v>35</v>
      </c>
      <c r="B159" s="137">
        <f>'DOE25'!F498</f>
        <v>1640363.77</v>
      </c>
      <c r="C159" s="137">
        <f>'DOE25'!G498</f>
        <v>3738834.99</v>
      </c>
      <c r="D159" s="137">
        <f>'DOE25'!H498</f>
        <v>9304642.8399999999</v>
      </c>
      <c r="E159" s="137">
        <f>'DOE25'!I498</f>
        <v>6943702.0800000001</v>
      </c>
      <c r="F159" s="137">
        <f>'DOE25'!J498</f>
        <v>0</v>
      </c>
      <c r="G159" s="138">
        <f t="shared" si="0"/>
        <v>21627543.68</v>
      </c>
    </row>
    <row r="160" spans="1:9" x14ac:dyDescent="0.2">
      <c r="A160" s="22" t="s">
        <v>36</v>
      </c>
      <c r="B160" s="137">
        <f>'DOE25'!F499</f>
        <v>262663.09000000003</v>
      </c>
      <c r="C160" s="137">
        <f>'DOE25'!G499</f>
        <v>1340452.25</v>
      </c>
      <c r="D160" s="137">
        <f>'DOE25'!H499</f>
        <v>4885654.93</v>
      </c>
      <c r="E160" s="137">
        <f>'DOE25'!I499</f>
        <v>4019736.5700000003</v>
      </c>
      <c r="F160" s="137">
        <f>'DOE25'!J499</f>
        <v>0</v>
      </c>
      <c r="G160" s="138">
        <f t="shared" si="0"/>
        <v>10508506.84</v>
      </c>
    </row>
    <row r="161" spans="1:7" x14ac:dyDescent="0.2">
      <c r="A161" s="22" t="s">
        <v>37</v>
      </c>
      <c r="B161" s="137">
        <f>'DOE25'!F500</f>
        <v>1903026.86</v>
      </c>
      <c r="C161" s="137">
        <f>'DOE25'!G500</f>
        <v>5079287.24</v>
      </c>
      <c r="D161" s="137">
        <f>'DOE25'!H500</f>
        <v>14190297.77</v>
      </c>
      <c r="E161" s="137">
        <f>'DOE25'!I500</f>
        <v>10963438.65</v>
      </c>
      <c r="F161" s="137">
        <f>'DOE25'!J500</f>
        <v>0</v>
      </c>
      <c r="G161" s="138">
        <f t="shared" si="0"/>
        <v>32136050.520000003</v>
      </c>
    </row>
    <row r="162" spans="1:7" x14ac:dyDescent="0.2">
      <c r="A162" s="22" t="s">
        <v>38</v>
      </c>
      <c r="B162" s="137">
        <f>'DOE25'!F501</f>
        <v>109929</v>
      </c>
      <c r="C162" s="137">
        <f>'DOE25'!G501</f>
        <v>125645</v>
      </c>
      <c r="D162" s="137">
        <f>'DOE25'!H501</f>
        <v>264150</v>
      </c>
      <c r="E162" s="137">
        <f>'DOE25'!I501</f>
        <v>187200</v>
      </c>
      <c r="F162" s="137">
        <f>'DOE25'!J501</f>
        <v>0</v>
      </c>
      <c r="G162" s="138">
        <f t="shared" si="0"/>
        <v>686924</v>
      </c>
    </row>
    <row r="163" spans="1:7" x14ac:dyDescent="0.2">
      <c r="A163" s="22" t="s">
        <v>39</v>
      </c>
      <c r="B163" s="137">
        <f>'DOE25'!F502</f>
        <v>42507</v>
      </c>
      <c r="C163" s="137">
        <f>'DOE25'!G502</f>
        <v>110825</v>
      </c>
      <c r="D163" s="137">
        <f>'DOE25'!H502</f>
        <v>378435</v>
      </c>
      <c r="E163" s="137">
        <f>'DOE25'!I502</f>
        <v>292200</v>
      </c>
      <c r="F163" s="137">
        <f>'DOE25'!J502</f>
        <v>0</v>
      </c>
      <c r="G163" s="138">
        <f t="shared" si="0"/>
        <v>823967</v>
      </c>
    </row>
    <row r="164" spans="1:7" x14ac:dyDescent="0.2">
      <c r="A164" s="22" t="s">
        <v>246</v>
      </c>
      <c r="B164" s="137">
        <f>'DOE25'!F503</f>
        <v>152436</v>
      </c>
      <c r="C164" s="137">
        <f>'DOE25'!G503</f>
        <v>236470</v>
      </c>
      <c r="D164" s="137">
        <f>'DOE25'!H503</f>
        <v>642585</v>
      </c>
      <c r="E164" s="137">
        <f>'DOE25'!I503</f>
        <v>479400</v>
      </c>
      <c r="F164" s="137">
        <f>'DOE25'!J503</f>
        <v>0</v>
      </c>
      <c r="G164" s="138">
        <f t="shared" si="0"/>
        <v>1510891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Mascoma Valley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18981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20755</v>
      </c>
    </row>
    <row r="7" spans="1:4" x14ac:dyDescent="0.2">
      <c r="B7" t="s">
        <v>699</v>
      </c>
      <c r="C7" s="179">
        <f>IF('DOE25'!I665+'DOE25'!I670=0,0,ROUND('DOE25'!I672,0))</f>
        <v>19498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9919123</v>
      </c>
      <c r="D10" s="182">
        <f>ROUND((C10/$C$28)*100,1)</f>
        <v>38.700000000000003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6069805</v>
      </c>
      <c r="D11" s="182">
        <f>ROUND((C11/$C$28)*100,1)</f>
        <v>23.7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348389</v>
      </c>
      <c r="D12" s="182">
        <f>ROUND((C12/$C$28)*100,1)</f>
        <v>1.4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276006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1615577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645716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1420088</v>
      </c>
      <c r="D17" s="182">
        <f t="shared" si="0"/>
        <v>5.5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1345169</v>
      </c>
      <c r="D18" s="182">
        <f t="shared" si="0"/>
        <v>5.2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1647782</v>
      </c>
      <c r="D20" s="182">
        <f t="shared" si="0"/>
        <v>6.4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1214307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848556</v>
      </c>
      <c r="D25" s="182">
        <f t="shared" si="0"/>
        <v>3.3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310809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25661327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165616</v>
      </c>
    </row>
    <row r="30" spans="1:4" x14ac:dyDescent="0.2">
      <c r="B30" s="187" t="s">
        <v>723</v>
      </c>
      <c r="C30" s="180">
        <f>SUM(C28:C29)</f>
        <v>25826943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655141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17967799</v>
      </c>
      <c r="D35" s="182">
        <f t="shared" ref="D35:D40" si="1">ROUND((C35/$C$41)*100,1)</f>
        <v>68.099999999999994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310351.52000000328</v>
      </c>
      <c r="D36" s="182">
        <f t="shared" si="1"/>
        <v>1.2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6553185</v>
      </c>
      <c r="D37" s="182">
        <f t="shared" si="1"/>
        <v>24.8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438116</v>
      </c>
      <c r="D38" s="182">
        <f t="shared" si="1"/>
        <v>1.7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1105225</v>
      </c>
      <c r="D39" s="182">
        <f t="shared" si="1"/>
        <v>4.2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26374676.520000003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Mascoma Valley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2018-08-08T16:52:26Z</cp:lastPrinted>
  <dcterms:created xsi:type="dcterms:W3CDTF">1997-12-04T19:04:30Z</dcterms:created>
  <dcterms:modified xsi:type="dcterms:W3CDTF">2018-12-03T19:44:28Z</dcterms:modified>
</cp:coreProperties>
</file>