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82" i="1" l="1"/>
  <c r="G582" i="1"/>
  <c r="F582" i="1"/>
  <c r="F160" i="1" l="1"/>
  <c r="F120" i="1"/>
  <c r="F117" i="1"/>
  <c r="C20" i="12" l="1"/>
  <c r="B19" i="12"/>
  <c r="B11" i="12"/>
  <c r="J591" i="1"/>
  <c r="I591" i="1"/>
  <c r="H591" i="1"/>
  <c r="H604" i="1" l="1"/>
  <c r="J604" i="1"/>
  <c r="I604" i="1"/>
  <c r="H154" i="1"/>
  <c r="H155" i="1"/>
  <c r="H498" i="1" l="1"/>
  <c r="G498" i="1"/>
  <c r="F498" i="1"/>
  <c r="H495" i="1"/>
  <c r="G495" i="1"/>
  <c r="F495" i="1"/>
  <c r="H499" i="1"/>
  <c r="G499" i="1"/>
  <c r="F499" i="1"/>
  <c r="G97" i="1"/>
  <c r="J468" i="1"/>
  <c r="G465" i="1"/>
  <c r="G468" i="1"/>
  <c r="H396" i="1"/>
  <c r="G14" i="1" l="1"/>
  <c r="F251" i="1" l="1"/>
  <c r="F24" i="1" l="1"/>
  <c r="F14" i="1"/>
  <c r="F49" i="1" l="1"/>
  <c r="F1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F662" i="1" s="1"/>
  <c r="L226" i="1"/>
  <c r="L244" i="1"/>
  <c r="G651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25" i="10" s="1"/>
  <c r="L341" i="1"/>
  <c r="C32" i="10" s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H169" i="1" s="1"/>
  <c r="I147" i="1"/>
  <c r="F85" i="2" s="1"/>
  <c r="I162" i="1"/>
  <c r="L250" i="1"/>
  <c r="L332" i="1"/>
  <c r="L254" i="1"/>
  <c r="L268" i="1"/>
  <c r="L269" i="1"/>
  <c r="L349" i="1"/>
  <c r="E142" i="2" s="1"/>
  <c r="L350" i="1"/>
  <c r="E143" i="2" s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L270" i="1" s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D115" i="2"/>
  <c r="F115" i="2"/>
  <c r="G115" i="2"/>
  <c r="E118" i="2"/>
  <c r="E120" i="2"/>
  <c r="E121" i="2"/>
  <c r="E122" i="2"/>
  <c r="E124" i="2"/>
  <c r="E12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J641" i="1" s="1"/>
  <c r="F452" i="1"/>
  <c r="G452" i="1"/>
  <c r="H452" i="1"/>
  <c r="H461" i="1" s="1"/>
  <c r="H641" i="1" s="1"/>
  <c r="F460" i="1"/>
  <c r="F461" i="1" s="1"/>
  <c r="H639" i="1" s="1"/>
  <c r="G460" i="1"/>
  <c r="H460" i="1"/>
  <c r="G461" i="1"/>
  <c r="H640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3" i="1"/>
  <c r="G644" i="1"/>
  <c r="G652" i="1"/>
  <c r="H652" i="1"/>
  <c r="G653" i="1"/>
  <c r="H653" i="1"/>
  <c r="G654" i="1"/>
  <c r="H654" i="1"/>
  <c r="H655" i="1"/>
  <c r="J655" i="1" s="1"/>
  <c r="D18" i="13"/>
  <c r="C18" i="13" s="1"/>
  <c r="I476" i="1"/>
  <c r="H625" i="1" s="1"/>
  <c r="G338" i="1"/>
  <c r="G352" i="1" s="1"/>
  <c r="F169" i="1"/>
  <c r="G192" i="1"/>
  <c r="G36" i="2"/>
  <c r="G62" i="2" l="1"/>
  <c r="G157" i="2"/>
  <c r="D19" i="13"/>
  <c r="C19" i="13" s="1"/>
  <c r="K598" i="1"/>
  <c r="G647" i="1" s="1"/>
  <c r="H112" i="1"/>
  <c r="E119" i="2"/>
  <c r="E128" i="2" s="1"/>
  <c r="A31" i="12"/>
  <c r="C12" i="10"/>
  <c r="F338" i="1"/>
  <c r="F352" i="1" s="1"/>
  <c r="A13" i="12"/>
  <c r="G545" i="1"/>
  <c r="L539" i="1"/>
  <c r="I545" i="1"/>
  <c r="G164" i="2"/>
  <c r="D62" i="2"/>
  <c r="D81" i="2"/>
  <c r="G476" i="1"/>
  <c r="H623" i="1" s="1"/>
  <c r="J644" i="1"/>
  <c r="J643" i="1"/>
  <c r="J476" i="1"/>
  <c r="H626" i="1" s="1"/>
  <c r="L427" i="1"/>
  <c r="L434" i="1" s="1"/>
  <c r="G638" i="1" s="1"/>
  <c r="J638" i="1" s="1"/>
  <c r="H52" i="1"/>
  <c r="H619" i="1" s="1"/>
  <c r="J619" i="1" s="1"/>
  <c r="E31" i="2"/>
  <c r="D50" i="2"/>
  <c r="J623" i="1"/>
  <c r="L401" i="1"/>
  <c r="C139" i="2" s="1"/>
  <c r="C70" i="2"/>
  <c r="F112" i="1"/>
  <c r="F476" i="1"/>
  <c r="H622" i="1" s="1"/>
  <c r="J622" i="1" s="1"/>
  <c r="D91" i="2"/>
  <c r="L328" i="1"/>
  <c r="L309" i="1"/>
  <c r="I169" i="1"/>
  <c r="G645" i="1"/>
  <c r="J645" i="1" s="1"/>
  <c r="G624" i="1"/>
  <c r="F571" i="1"/>
  <c r="L529" i="1"/>
  <c r="H545" i="1"/>
  <c r="J545" i="1"/>
  <c r="L256" i="1"/>
  <c r="I52" i="1"/>
  <c r="H620" i="1" s="1"/>
  <c r="E103" i="2"/>
  <c r="D18" i="2"/>
  <c r="E131" i="2"/>
  <c r="J552" i="1"/>
  <c r="H552" i="1"/>
  <c r="K550" i="1"/>
  <c r="K549" i="1"/>
  <c r="E8" i="13"/>
  <c r="C8" i="13" s="1"/>
  <c r="J625" i="1"/>
  <c r="H338" i="1"/>
  <c r="H352" i="1" s="1"/>
  <c r="E110" i="2"/>
  <c r="C91" i="2"/>
  <c r="E78" i="2"/>
  <c r="E81" i="2" s="1"/>
  <c r="E58" i="2"/>
  <c r="E62" i="2" s="1"/>
  <c r="E63" i="2" s="1"/>
  <c r="D31" i="2"/>
  <c r="F18" i="2"/>
  <c r="C18" i="2"/>
  <c r="C35" i="10"/>
  <c r="D17" i="13"/>
  <c r="C17" i="13" s="1"/>
  <c r="L351" i="1"/>
  <c r="L614" i="1"/>
  <c r="K605" i="1"/>
  <c r="G648" i="1" s="1"/>
  <c r="L570" i="1"/>
  <c r="L571" i="1" s="1"/>
  <c r="H571" i="1"/>
  <c r="L565" i="1"/>
  <c r="I571" i="1"/>
  <c r="H476" i="1"/>
  <c r="H624" i="1" s="1"/>
  <c r="L433" i="1"/>
  <c r="L419" i="1"/>
  <c r="J617" i="1"/>
  <c r="G161" i="2"/>
  <c r="G156" i="2"/>
  <c r="G661" i="1"/>
  <c r="J651" i="1"/>
  <c r="J640" i="1"/>
  <c r="F22" i="13"/>
  <c r="C22" i="13" s="1"/>
  <c r="C29" i="10"/>
  <c r="D14" i="13"/>
  <c r="C14" i="13" s="1"/>
  <c r="C120" i="2"/>
  <c r="L229" i="1"/>
  <c r="C110" i="2"/>
  <c r="C109" i="2"/>
  <c r="H662" i="1"/>
  <c r="D15" i="13"/>
  <c r="C15" i="13" s="1"/>
  <c r="C122" i="2"/>
  <c r="E13" i="13"/>
  <c r="C13" i="13" s="1"/>
  <c r="C17" i="10"/>
  <c r="C119" i="2"/>
  <c r="D6" i="13"/>
  <c r="C6" i="13" s="1"/>
  <c r="C118" i="2"/>
  <c r="C13" i="10"/>
  <c r="C111" i="2"/>
  <c r="I369" i="1"/>
  <c r="H634" i="1" s="1"/>
  <c r="J634" i="1" s="1"/>
  <c r="H661" i="1"/>
  <c r="D127" i="2"/>
  <c r="D128" i="2" s="1"/>
  <c r="D145" i="2" s="1"/>
  <c r="L362" i="1"/>
  <c r="K257" i="1"/>
  <c r="K271" i="1" s="1"/>
  <c r="J257" i="1"/>
  <c r="J271" i="1" s="1"/>
  <c r="L247" i="1"/>
  <c r="F257" i="1"/>
  <c r="F271" i="1" s="1"/>
  <c r="G649" i="1"/>
  <c r="J649" i="1" s="1"/>
  <c r="H647" i="1"/>
  <c r="C21" i="10"/>
  <c r="C20" i="10"/>
  <c r="D12" i="13"/>
  <c r="C12" i="13" s="1"/>
  <c r="C18" i="10"/>
  <c r="A40" i="12"/>
  <c r="D5" i="13"/>
  <c r="C5" i="13" s="1"/>
  <c r="I257" i="1"/>
  <c r="I271" i="1" s="1"/>
  <c r="H257" i="1"/>
  <c r="H271" i="1" s="1"/>
  <c r="G257" i="1"/>
  <c r="G271" i="1" s="1"/>
  <c r="E16" i="13"/>
  <c r="J639" i="1"/>
  <c r="C125" i="2"/>
  <c r="C123" i="2"/>
  <c r="C112" i="2"/>
  <c r="C78" i="2"/>
  <c r="C58" i="2"/>
  <c r="L211" i="1"/>
  <c r="C16" i="10"/>
  <c r="C11" i="10"/>
  <c r="K551" i="1"/>
  <c r="F552" i="1"/>
  <c r="H25" i="13"/>
  <c r="D63" i="2"/>
  <c r="I460" i="1"/>
  <c r="I446" i="1"/>
  <c r="G642" i="1" s="1"/>
  <c r="G552" i="1"/>
  <c r="D29" i="13"/>
  <c r="C29" i="13" s="1"/>
  <c r="D7" i="13"/>
  <c r="C7" i="13" s="1"/>
  <c r="L382" i="1"/>
  <c r="G636" i="1" s="1"/>
  <c r="J636" i="1" s="1"/>
  <c r="K338" i="1"/>
  <c r="K352" i="1" s="1"/>
  <c r="G81" i="2"/>
  <c r="C62" i="2"/>
  <c r="C63" i="2" s="1"/>
  <c r="G662" i="1"/>
  <c r="I662" i="1" s="1"/>
  <c r="F661" i="1"/>
  <c r="C19" i="10"/>
  <c r="C15" i="10"/>
  <c r="G112" i="1"/>
  <c r="L534" i="1"/>
  <c r="K500" i="1"/>
  <c r="I452" i="1"/>
  <c r="I461" i="1" s="1"/>
  <c r="H642" i="1" s="1"/>
  <c r="C26" i="10"/>
  <c r="G650" i="1"/>
  <c r="J650" i="1" s="1"/>
  <c r="K503" i="1"/>
  <c r="L544" i="1"/>
  <c r="L524" i="1"/>
  <c r="J338" i="1"/>
  <c r="J352" i="1" s="1"/>
  <c r="C124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L407" i="1"/>
  <c r="C140" i="2" s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G51" i="2" s="1"/>
  <c r="J51" i="1"/>
  <c r="G16" i="2"/>
  <c r="G18" i="2" s="1"/>
  <c r="J19" i="1"/>
  <c r="G621" i="1" s="1"/>
  <c r="F33" i="13"/>
  <c r="F545" i="1"/>
  <c r="H434" i="1"/>
  <c r="J620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J647" i="1" l="1"/>
  <c r="E104" i="2"/>
  <c r="G660" i="1"/>
  <c r="H660" i="1"/>
  <c r="H664" i="1" s="1"/>
  <c r="H672" i="1" s="1"/>
  <c r="C6" i="10" s="1"/>
  <c r="K552" i="1"/>
  <c r="I661" i="1"/>
  <c r="D104" i="2"/>
  <c r="G104" i="2"/>
  <c r="L408" i="1"/>
  <c r="C141" i="2"/>
  <c r="C144" i="2" s="1"/>
  <c r="J624" i="1"/>
  <c r="D51" i="2"/>
  <c r="C81" i="2"/>
  <c r="C104" i="2" s="1"/>
  <c r="F193" i="1"/>
  <c r="G627" i="1" s="1"/>
  <c r="J627" i="1" s="1"/>
  <c r="C36" i="10"/>
  <c r="F104" i="2"/>
  <c r="L545" i="1"/>
  <c r="J642" i="1"/>
  <c r="E33" i="13"/>
  <c r="D35" i="13" s="1"/>
  <c r="C115" i="2"/>
  <c r="C16" i="13"/>
  <c r="H648" i="1"/>
  <c r="J648" i="1" s="1"/>
  <c r="L257" i="1"/>
  <c r="L271" i="1" s="1"/>
  <c r="G632" i="1" s="1"/>
  <c r="J632" i="1" s="1"/>
  <c r="C128" i="2"/>
  <c r="G664" i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H667" i="1"/>
  <c r="C145" i="2"/>
  <c r="G672" i="1"/>
  <c r="C5" i="10" s="1"/>
  <c r="G667" i="1"/>
  <c r="C41" i="10"/>
  <c r="D38" i="10" s="1"/>
  <c r="D37" i="10" l="1"/>
  <c r="D36" i="10"/>
  <c r="D35" i="10"/>
  <c r="D40" i="10"/>
  <c r="D39" i="10"/>
  <c r="D41" i="10" l="1"/>
  <c r="E109" i="2"/>
  <c r="E115" i="2" s="1"/>
  <c r="E145" i="2" s="1"/>
  <c r="I290" i="1"/>
  <c r="I338" i="1" s="1"/>
  <c r="I352" i="1" s="1"/>
  <c r="C10" i="10"/>
  <c r="L276" i="1"/>
  <c r="L290" i="1"/>
  <c r="F660" i="1" s="1"/>
  <c r="L338" i="1" l="1"/>
  <c r="L352" i="1" s="1"/>
  <c r="G633" i="1" s="1"/>
  <c r="H656" i="1" s="1"/>
  <c r="D31" i="13"/>
  <c r="D33" i="13" s="1"/>
  <c r="D36" i="13" s="1"/>
  <c r="F664" i="1"/>
  <c r="I660" i="1"/>
  <c r="I664" i="1" s="1"/>
  <c r="C28" i="10"/>
  <c r="D10" i="10" s="1"/>
  <c r="J633" i="1" l="1"/>
  <c r="C31" i="13"/>
  <c r="F672" i="1"/>
  <c r="C4" i="10" s="1"/>
  <c r="F667" i="1"/>
  <c r="D18" i="10"/>
  <c r="D20" i="10"/>
  <c r="D22" i="10"/>
  <c r="D27" i="10"/>
  <c r="D16" i="10"/>
  <c r="D15" i="10"/>
  <c r="D21" i="10"/>
  <c r="D23" i="10"/>
  <c r="D24" i="10"/>
  <c r="D12" i="10"/>
  <c r="D13" i="10"/>
  <c r="D26" i="10"/>
  <c r="D25" i="10"/>
  <c r="D11" i="10"/>
  <c r="D17" i="10"/>
  <c r="D19" i="10"/>
  <c r="C30" i="10"/>
  <c r="I667" i="1"/>
  <c r="I672" i="1"/>
  <c r="C7" i="10" s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<sst xmlns="http://schemas.openxmlformats.org/spreadsheetml/2006/main" count="3963" uniqueCount="919">
  <si>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</si>
  <si>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</si>
  <si>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</si>
  <si>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</si>
  <si>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</si>
  <si>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</si>
  <si>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</si>
  <si>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</si>
  <si>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</si>
  <si>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</si>
  <si>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</si>
  <si>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</si>
  <si>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</si>
  <si>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</si>
  <si>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</si>
  <si>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</si>
  <si>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</si>
  <si>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</si>
  <si>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</si>
  <si>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</si>
  <si>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</si>
  <si>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</si>
  <si>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</si>
  <si>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</si>
  <si>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</si>
  <si>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</si>
  <si>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</si>
  <si>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</si>
  <si>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</si>
  <si>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</si>
  <si>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</si>
  <si>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</si>
  <si>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</si>
  <si>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</si>
  <si>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</si>
  <si>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</si>
  <si>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</si>
  <si>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</si>
  <si>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</si>
  <si>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</si>
  <si>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</si>
  <si>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</si>
  <si>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</si>
  <si>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</si>
  <si>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</si>
  <si>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</si>
  <si>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</si>
  <si>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</si>
  <si>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</si>
  <si>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</si>
  <si>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</si>
  <si>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</si>
  <si>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</si>
  <si>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</si>
  <si>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</si>
  <si>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</si>
  <si>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</si>
  <si>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</si>
  <si>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</si>
  <si>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</si>
  <si>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</si>
  <si>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</si>
  <si>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</si>
  <si>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</si>
  <si>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</si>
  <si>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</si>
  <si>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</si>
  <si>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</si>
  <si>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</si>
  <si>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</si>
  <si>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</si>
  <si>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</si>
  <si>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</si>
  <si>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</si>
  <si>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</si>
  <si>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</si>
  <si>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</si>
  <si>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</si>
  <si>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</si>
  <si>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</si>
  <si>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</si>
  <si>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</si>
  <si>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</si>
  <si>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</si>
  <si>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</si>
  <si>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</si>
  <si>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</si>
  <si>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</si>
  <si>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</si>
  <si>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</si>
  <si>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</si>
  <si>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</si>
  <si>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</si>
  <si>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</si>
  <si>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</si>
  <si>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</si>
  <si>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</si>
  <si>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</si>
  <si>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</si>
  <si>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</si>
  <si>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</si>
  <si>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</si>
  <si>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</si>
  <si>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</si>
  <si>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</si>
  <si>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</si>
  <si>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</si>
  <si>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</si>
  <si>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</si>
  <si>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</si>
  <si>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</si>
  <si>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</si>
  <si>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</si>
  <si>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</si>
  <si>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</si>
  <si>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</si>
  <si>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</si>
  <si>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</si>
  <si>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</si>
  <si>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</si>
  <si>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</si>
  <si>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</si>
  <si>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</si>
  <si>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</si>
  <si>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</si>
  <si>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</si>
  <si>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</si>
  <si>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</si>
  <si>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</si>
  <si>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</si>
  <si>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</si>
  <si>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</si>
  <si>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</si>
  <si>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</si>
  <si>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</si>
  <si>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</si>
  <si>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</si>
  <si>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</si>
  <si>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</si>
  <si>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</si>
  <si>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</si>
  <si>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</si>
  <si>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</si>
  <si>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</si>
  <si>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</si>
  <si>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</si>
  <si>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</si>
  <si>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</si>
  <si>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</si>
  <si>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</si>
  <si>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</si>
  <si>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</si>
  <si>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</si>
  <si>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</si>
  <si>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</si>
  <si>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</si>
  <si>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</si>
  <si>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</si>
  <si>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</si>
  <si>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</si>
  <si>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</si>
  <si>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</si>
  <si>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</si>
  <si>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</si>
  <si>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</si>
  <si>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</si>
  <si>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</si>
  <si>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</si>
  <si>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</si>
  <si>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</si>
  <si>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</si>
  <si>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</si>
  <si>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</si>
  <si>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</si>
  <si>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</si>
  <si>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</si>
  <si>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</si>
  <si>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</si>
  <si>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</si>
  <si>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</si>
  <si>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</si>
  <si>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</si>
  <si>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</si>
  <si>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</si>
  <si>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</si>
  <si>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</si>
  <si>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</si>
  <si>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</si>
  <si>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</si>
  <si>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</si>
  <si>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</si>
  <si>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</si>
  <si>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</si>
  <si>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</si>
  <si>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</si>
  <si>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</si>
  <si>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</si>
  <si>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</si>
  <si>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</si>
  <si>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</si>
  <si>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</si>
  <si>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</si>
  <si>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</si>
  <si>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</si>
  <si>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</si>
  <si>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</si>
  <si>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</si>
  <si>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</si>
  <si>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</si>
  <si>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</si>
  <si>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</si>
  <si>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</si>
  <si>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</si>
  <si>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</si>
  <si>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</si>
  <si>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</si>
  <si>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</si>
  <si>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</si>
  <si>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</si>
  <si>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</si>
  <si>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</si>
  <si>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</si>
  <si>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</si>
  <si>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</si>
  <si>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</si>
  <si>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</si>
  <si>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</si>
  <si>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</si>
  <si>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</si>
  <si>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</si>
  <si>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</si>
  <si>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</si>
  <si>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</si>
  <si>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</si>
  <si>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</si>
  <si>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</si>
  <si>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</si>
  <si>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</si>
  <si>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</si>
  <si>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</si>
  <si>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</si>
  <si>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</si>
  <si>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</si>
  <si>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</si>
  <si>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</si>
  <si>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</si>
  <si>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</si>
  <si>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</si>
  <si>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</si>
  <si>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</si>
  <si>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</si>
  <si>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</si>
  <si>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</si>
  <si>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</si>
  <si>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</si>
  <si>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</si>
  <si>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</si>
  <si>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</si>
  <si>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</si>
  <si>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</si>
  <si>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</si>
  <si>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</si>
  <si>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</si>
  <si>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</si>
  <si>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</si>
  <si>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</si>
  <si>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</si>
  <si>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</si>
  <si>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</si>
  <si>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</si>
  <si>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</si>
  <si>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</si>
  <si>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</si>
  <si>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</si>
  <si>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</si>
  <si>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</si>
  <si>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</si>
  <si>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</si>
  <si>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</si>
  <si>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</si>
  <si>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</si>
  <si>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</si>
  <si>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</si>
  <si>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</si>
  <si>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</si>
  <si>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</si>
  <si>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</si>
  <si>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</si>
  <si>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</si>
  <si>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</si>
  <si>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</si>
  <si>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</si>
  <si>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</si>
  <si>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</si>
  <si>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</si>
  <si>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</si>
  <si>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</si>
  <si>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</si>
  <si>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</si>
  <si>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</si>
  <si>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</si>
  <si>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</si>
  <si>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</si>
  <si>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</si>
  <si>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</si>
  <si>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</si>
  <si>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</si>
  <si>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</si>
  <si>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</si>
  <si>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</si>
  <si>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</si>
  <si>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</si>
  <si>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</si>
  <si>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</si>
  <si>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</si>
  <si>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</si>
  <si>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</si>
  <si>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</si>
  <si>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</si>
  <si>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</si>
  <si>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</si>
  <si>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</si>
  <si>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</si>
  <si>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</si>
  <si>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</si>
  <si>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</si>
  <si>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</si>
  <si>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</si>
  <si>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</si>
  <si>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</si>
  <si>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</si>
  <si>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</si>
  <si>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</si>
  <si>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</si>
  <si>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</si>
  <si>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</si>
  <si>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</si>
  <si>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</si>
  <si>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</si>
  <si>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</si>
  <si>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</si>
  <si>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</si>
  <si>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</si>
  <si>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</si>
  <si>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</si>
  <si>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</si>
  <si>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</si>
  <si>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</si>
  <si>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</si>
  <si>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</si>
  <si>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</si>
  <si>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</si>
  <si>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</si>
  <si>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</si>
  <si>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</si>
  <si>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</si>
  <si>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</si>
  <si>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</si>
  <si>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</si>
  <si>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</si>
  <si>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</si>
  <si>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</si>
  <si>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</si>
  <si>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</si>
  <si>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</si>
  <si>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</si>
  <si>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</si>
  <si>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</si>
  <si>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</si>
  <si>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</si>
  <si>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</si>
  <si>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</si>
  <si>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</si>
  <si>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</si>
  <si>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</si>
  <si>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</si>
  <si>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</si>
  <si>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</si>
  <si>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</si>
  <si>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</si>
  <si>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</si>
  <si>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</si>
  <si>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</si>
  <si>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</si>
  <si>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</si>
  <si>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</si>
  <si>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</si>
  <si>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</si>
  <si>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</si>
  <si>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</si>
  <si>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</si>
  <si>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</si>
  <si>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</si>
  <si>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</si>
  <si>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</si>
  <si>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</si>
  <si>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</si>
  <si>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</si>
  <si>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</si>
  <si>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</si>
  <si>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</si>
  <si>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</si>
  <si>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</si>
  <si>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</si>
  <si>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</si>
  <si>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</si>
  <si>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</si>
  <si>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</si>
  <si>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</si>
  <si>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</si>
  <si>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</si>
  <si>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</si>
  <si>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</si>
  <si>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</si>
  <si>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</si>
  <si>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</si>
  <si>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</si>
  <si>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</si>
  <si>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</si>
  <si>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</si>
  <si>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</si>
  <si>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</si>
  <si>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</si>
  <si>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</si>
  <si>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</si>
  <si>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</si>
  <si>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</si>
  <si>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</si>
  <si>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</si>
  <si>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</si>
  <si>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</si>
  <si>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</si>
  <si>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</si>
  <si>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</si>
  <si>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</si>
  <si>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</si>
  <si>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</si>
  <si>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</si>
  <si>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</si>
  <si>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</si>
  <si>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</si>
  <si>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</si>
  <si>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</si>
  <si>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</si>
  <si>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</si>
  <si>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</si>
  <si>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</si>
  <si>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</si>
  <si>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</si>
  <si>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</si>
  <si>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</si>
  <si>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</si>
  <si>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</si>
  <si>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</si>
  <si>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</si>
  <si>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</si>
  <si>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</si>
  <si>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</si>
  <si>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</si>
  <si>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</si>
  <si>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</si>
  <si>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</si>
  <si>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</si>
  <si>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</si>
  <si>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</si>
  <si>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</si>
  <si>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</si>
  <si>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</si>
  <si>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</si>
  <si>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</si>
  <si>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</si>
  <si>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</si>
  <si>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</si>
  <si>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</si>
  <si>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</si>
  <si>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</si>
  <si>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</si>
  <si>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</si>
  <si>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</si>
  <si>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</si>
  <si>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</si>
  <si>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</si>
  <si>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</si>
  <si>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</si>
  <si>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</si>
  <si>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</si>
  <si>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</si>
  <si>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</si>
  <si>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</si>
  <si>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</si>
  <si>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</si>
  <si>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</si>
  <si>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</si>
  <si>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</si>
  <si>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</si>
  <si>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</si>
  <si>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</si>
  <si>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</si>
  <si>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</si>
  <si>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</si>
  <si>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</si>
  <si>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</si>
  <si>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</si>
  <si>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</si>
  <si>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</si>
  <si>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</si>
  <si>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</si>
  <si>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</si>
  <si>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</si>
  <si>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</si>
  <si>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</si>
  <si>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</si>
  <si>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</si>
  <si>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</si>
  <si>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</si>
  <si>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</si>
  <si>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</si>
  <si>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</si>
  <si>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</si>
  <si>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</si>
  <si>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</si>
  <si>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</si>
  <si>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</si>
  <si>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</si>
  <si>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</si>
  <si>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</si>
  <si>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</si>
  <si>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</si>
  <si>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</si>
  <si>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</si>
  <si>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</si>
  <si>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</si>
  <si>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</si>
  <si>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</si>
  <si>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</si>
  <si>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</si>
  <si>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</si>
  <si>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</si>
  <si>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</si>
  <si>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</si>
  <si>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</si>
  <si>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</si>
  <si>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</si>
  <si>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</si>
  <si>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</si>
  <si>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</si>
  <si>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</si>
  <si>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</si>
  <si>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</si>
  <si>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</si>
  <si>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</si>
  <si>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</si>
  <si>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</si>
  <si>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</si>
  <si>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</si>
  <si>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</si>
  <si>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</si>
  <si>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</si>
  <si>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</si>
  <si>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</si>
  <si>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</si>
  <si>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</si>
  <si>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</si>
  <si>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</si>
  <si>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</si>
  <si>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</si>
  <si>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</si>
  <si>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</si>
  <si>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</si>
  <si>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</si>
  <si>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</si>
  <si>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</si>
  <si>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</si>
  <si>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</si>
  <si>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</si>
  <si>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</si>
  <si>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</si>
  <si>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</si>
  <si>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</si>
  <si>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</si>
  <si>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</si>
  <si>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</si>
  <si>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</si>
  <si>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</si>
  <si>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</si>
  <si>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</si>
  <si>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</si>
  <si>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</si>
  <si>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</si>
  <si>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</si>
  <si>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</si>
  <si>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</si>
  <si>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</si>
  <si>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</si>
  <si>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</si>
  <si>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</si>
  <si>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</si>
  <si>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</si>
  <si>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</si>
  <si>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</si>
  <si>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</si>
  <si>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</si>
  <si>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</si>
  <si>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</si>
  <si>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</si>
  <si>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</si>
  <si>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</si>
  <si>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</si>
  <si>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</si>
  <si>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</si>
  <si>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</si>
  <si>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</si>
  <si>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</si>
  <si>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</si>
  <si>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</si>
  <si>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</si>
  <si>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</si>
  <si>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</si>
  <si>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</si>
  <si>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</si>
  <si>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</si>
  <si>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</si>
  <si>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</si>
  <si>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</si>
  <si>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</si>
  <si>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</si>
  <si>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</si>
  <si>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</si>
  <si>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</si>
  <si>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</si>
  <si>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</si>
  <si>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</si>
  <si>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</si>
  <si>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</si>
  <si>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</si>
  <si>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</si>
  <si>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</si>
  <si>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</si>
  <si>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</si>
  <si>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</si>
  <si>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</si>
  <si>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</si>
  <si>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</si>
  <si>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</si>
  <si>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</si>
  <si>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</si>
  <si>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</si>
  <si>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</si>
  <si>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</si>
  <si>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</si>
  <si>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</si>
  <si>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</si>
  <si>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</si>
  <si>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</si>
  <si>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</si>
  <si>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</si>
  <si>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</si>
  <si>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</si>
  <si>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</si>
  <si>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</si>
  <si>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</si>
  <si>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</si>
  <si>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</si>
  <si>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</si>
  <si>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</si>
  <si>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</si>
  <si>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</si>
  <si>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</si>
  <si>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</si>
  <si>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</si>
  <si>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</si>
  <si>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</si>
  <si>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</si>
  <si>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</si>
  <si>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</si>
  <si>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</si>
  <si>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</si>
  <si>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</si>
  <si>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</si>
  <si>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</si>
  <si>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</si>
  <si>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</si>
  <si>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</si>
  <si>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</si>
  <si>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</si>
  <si>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</si>
  <si>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</si>
  <si>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</si>
  <si>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</si>
  <si>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</si>
  <si>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</si>
  <si>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</si>
  <si>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</si>
  <si>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</si>
  <si>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</si>
  <si>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</si>
  <si>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</si>
  <si>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</si>
  <si>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</si>
  <si>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</si>
  <si>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</si>
  <si>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</si>
  <si>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</si>
  <si>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</si>
  <si>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</si>
  <si>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</si>
  <si>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</si>
  <si>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</si>
  <si>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</si>
  <si>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</si>
  <si>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</si>
  <si>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</si>
  <si>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</si>
  <si>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</si>
  <si>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</si>
  <si>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</si>
  <si>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</si>
  <si>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</si>
  <si>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</si>
  <si>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</si>
  <si>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</si>
  <si>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</si>
  <si>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</si>
  <si>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</si>
  <si>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</si>
  <si>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</si>
  <si>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</si>
  <si>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</si>
  <si>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</si>
  <si>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</si>
  <si>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</si>
  <si>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</si>
  <si>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</si>
  <si>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</si>
  <si>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</si>
  <si>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</si>
  <si>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</si>
  <si>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</si>
  <si>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</si>
  <si>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</si>
  <si>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</si>
  <si>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</si>
  <si>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</si>
  <si>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</si>
  <si>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</si>
  <si>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</si>
  <si>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</si>
  <si>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</si>
  <si>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</si>
  <si>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</si>
  <si>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</si>
  <si>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</si>
  <si>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</si>
  <si>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</si>
  <si>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</si>
  <si>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</si>
  <si>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</si>
  <si>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</si>
  <si>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</si>
  <si>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</si>
  <si>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</si>
  <si>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</si>
  <si>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</si>
  <si>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</si>
  <si>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</si>
  <si>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</si>
  <si>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</si>
  <si>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</si>
  <si>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</si>
  <si>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</si>
  <si>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</si>
  <si>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</si>
  <si>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</si>
  <si>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</si>
  <si>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</si>
  <si>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</si>
  <si>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</si>
  <si>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</si>
  <si>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</si>
  <si>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</si>
  <si>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</si>
  <si>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</si>
  <si>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</si>
  <si>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</si>
  <si>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</si>
  <si>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</si>
  <si>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</si>
  <si>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</si>
  <si>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</si>
  <si>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</si>
  <si>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</si>
  <si>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</si>
  <si>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</si>
  <si>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</si>
  <si>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</si>
  <si>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</si>
  <si>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</si>
  <si>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</si>
  <si>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</si>
  <si>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</si>
  <si>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</si>
  <si>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</si>
  <si>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</si>
  <si>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</si>
  <si>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</si>
  <si>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</si>
  <si>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</si>
  <si>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</si>
  <si>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</si>
  <si>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</si>
  <si>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</si>
  <si>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</si>
  <si>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</si>
  <si>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</si>
  <si>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</si>
  <si>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</si>
  <si>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</si>
  <si>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</si>
  <si>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</si>
  <si>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</si>
  <si>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</si>
  <si>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</si>
  <si>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</si>
  <si>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</si>
  <si>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</si>
  <si>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</si>
  <si>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</si>
  <si>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</si>
  <si>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</si>
  <si>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</si>
  <si>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</si>
  <si>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</si>
  <si>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</si>
  <si>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</si>
  <si>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</si>
  <si>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</si>
  <si>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</si>
  <si>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</si>
  <si>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</si>
  <si>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</si>
  <si>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</si>
  <si>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</si>
  <si>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</si>
  <si>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</si>
  <si>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</si>
  <si>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</si>
  <si>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</si>
  <si>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</si>
  <si>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</si>
  <si>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</si>
  <si>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</si>
  <si>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</si>
  <si>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</si>
  <si>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</si>
  <si>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</si>
  <si>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</si>
  <si>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</si>
  <si>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</si>
  <si>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</si>
  <si>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</si>
  <si>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</si>
  <si>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</si>
  <si>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</si>
  <si>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</si>
  <si>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</si>
  <si>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</si>
  <si>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</si>
  <si>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</si>
  <si>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</si>
  <si>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</si>
  <si>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</si>
  <si>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</si>
  <si>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</si>
  <si>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</si>
  <si>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</si>
  <si>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</si>
  <si>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</si>
  <si>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</si>
  <si>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</si>
  <si>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</si>
  <si>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</si>
  <si>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</si>
  <si>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</si>
  <si>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</si>
  <si>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</si>
  <si>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</si>
  <si>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</si>
  <si>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</si>
  <si>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</si>
  <si>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</si>
  <si>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</si>
  <si>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</si>
  <si>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</si>
  <si>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</si>
  <si>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</si>
  <si>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</si>
  <si>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</si>
  <si>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</si>
  <si>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</si>
  <si>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</si>
  <si>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</si>
  <si>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</si>
  <si>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</si>
  <si>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</si>
  <si>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</si>
  <si>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</si>
  <si>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</si>
  <si>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</si>
  <si>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</si>
  <si>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</si>
  <si>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</si>
  <si>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</si>
  <si>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2/01</t>
  </si>
  <si>
    <t>2/04</t>
  </si>
  <si>
    <t>07/07</t>
  </si>
  <si>
    <t>8/20</t>
  </si>
  <si>
    <t>8/23</t>
  </si>
  <si>
    <t>07/20</t>
  </si>
  <si>
    <t>MERRIMACK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</si>
</sst>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02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8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918</v>
      </c>
      <c r="B2" s="21">
        <v>351</v>
      </c>
      <c r="C2" s="21">
        <v>351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2932136.85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f>16271.65+77.43</f>
        <v>16349.08</v>
      </c>
      <c r="G10" s="18"/>
      <c r="H10" s="18"/>
      <c r="I10" s="18"/>
      <c r="J10" s="67">
        <f>SUM(I440)</f>
        <v>608224.73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4534.1499999999996</v>
      </c>
      <c r="G12" s="18">
        <v>11709.51</v>
      </c>
      <c r="H12" s="18">
        <v>204630.89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193170.38</v>
      </c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88058.57</f>
        <v>88058.57</v>
      </c>
      <c r="G14" s="18">
        <f>18927.82+6333.7</f>
        <v>25261.52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39083.760000000002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3234249.03</v>
      </c>
      <c r="G19" s="41">
        <f>SUM(G9:G18)</f>
        <v>76054.790000000008</v>
      </c>
      <c r="H19" s="41">
        <f>SUM(H9:H18)</f>
        <v>204630.89</v>
      </c>
      <c r="I19" s="41">
        <f>SUM(I9:I18)</f>
        <v>0</v>
      </c>
      <c r="J19" s="41">
        <f>SUM(J9:J18)</f>
        <v>608224.73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>
        <v>204630.89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119044.04-2306.95</f>
        <v>116737.09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30165.759999999998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116737.09</v>
      </c>
      <c r="G32" s="41">
        <f>SUM(G22:G31)</f>
        <v>30165.759999999998</v>
      </c>
      <c r="H32" s="41">
        <f>SUM(H22:H31)</f>
        <v>204630.89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39083.760000000002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21839.07</v>
      </c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150000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16271.65</v>
      </c>
      <c r="G48" s="18">
        <v>6805.27</v>
      </c>
      <c r="H48" s="18"/>
      <c r="I48" s="18"/>
      <c r="J48" s="13">
        <f>SUM(I459)</f>
        <v>608224.73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f>9601+77.43</f>
        <v>9678.43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2919722.79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3117511.94</v>
      </c>
      <c r="G51" s="41">
        <f>SUM(G35:G50)</f>
        <v>45889.03</v>
      </c>
      <c r="H51" s="41">
        <f>SUM(H35:H50)</f>
        <v>0</v>
      </c>
      <c r="I51" s="41">
        <f>SUM(I35:I50)</f>
        <v>0</v>
      </c>
      <c r="J51" s="41">
        <f>SUM(J35:J50)</f>
        <v>608224.73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3234249.03</v>
      </c>
      <c r="G52" s="41">
        <f>G51+G32</f>
        <v>76054.789999999994</v>
      </c>
      <c r="H52" s="41">
        <f>H51+H32</f>
        <v>204630.89</v>
      </c>
      <c r="I52" s="41">
        <f>I51+I32</f>
        <v>0</v>
      </c>
      <c r="J52" s="41">
        <f>J51+J32</f>
        <v>608224.73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51085892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51085892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9085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36090</v>
      </c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16656.18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110877.5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30275.41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202984.09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35937.58</v>
      </c>
      <c r="G96" s="18"/>
      <c r="H96" s="18"/>
      <c r="I96" s="18"/>
      <c r="J96" s="18">
        <v>8239.14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913650.71</f>
        <v>913650.71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26000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16826.95</v>
      </c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25659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40844.82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145268.35</v>
      </c>
      <c r="G111" s="41">
        <f>SUM(G96:G110)</f>
        <v>913650.71</v>
      </c>
      <c r="H111" s="41">
        <f>SUM(H96:H110)</f>
        <v>0</v>
      </c>
      <c r="I111" s="41">
        <f>SUM(I96:I110)</f>
        <v>0</v>
      </c>
      <c r="J111" s="41">
        <f>SUM(J96:J110)</f>
        <v>8239.14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51434144.440000005</v>
      </c>
      <c r="G112" s="41">
        <f>G60+G111</f>
        <v>913650.71</v>
      </c>
      <c r="H112" s="41">
        <f>H60+H79+H94+H111</f>
        <v>0</v>
      </c>
      <c r="I112" s="41">
        <f>I60+I111</f>
        <v>0</v>
      </c>
      <c r="J112" s="41">
        <f>J60+J111</f>
        <v>8239.14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f>8173961.75-43200</f>
        <v>8130761.75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7008220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19580+43200</f>
        <v>62780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15201761.75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432651.3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920652.4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10528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16568.169999999998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180000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1543831.7</v>
      </c>
      <c r="G136" s="41">
        <f>SUM(G123:G135)</f>
        <v>16568.169999999998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16745593.449999999</v>
      </c>
      <c r="G140" s="41">
        <f>G121+SUM(G136:G137)</f>
        <v>16568.169999999998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124557.29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215179.5+12565.3</f>
        <v>227744.8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62863.1+16915.95+11827.83</f>
        <v>91606.88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285670.44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860168.25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f>577811.77-30108</f>
        <v>547703.77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547703.77</v>
      </c>
      <c r="G162" s="41">
        <f>SUM(G150:G161)</f>
        <v>285670.44</v>
      </c>
      <c r="H162" s="41">
        <f>SUM(H150:H161)</f>
        <v>1304077.22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547703.77</v>
      </c>
      <c r="G169" s="41">
        <f>G147+G162+SUM(G163:G168)</f>
        <v>285670.44</v>
      </c>
      <c r="H169" s="41">
        <f>H147+H162+SUM(H163:H168)</f>
        <v>1304077.22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48054.39</v>
      </c>
      <c r="H179" s="18"/>
      <c r="I179" s="18"/>
      <c r="J179" s="18">
        <v>75000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48054.39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225000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225000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225000</v>
      </c>
      <c r="G192" s="41">
        <f>G183+SUM(G188:G191)</f>
        <v>48054.39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68952441.659999996</v>
      </c>
      <c r="G193" s="47">
        <f>G112+G140+G169+G192</f>
        <v>1263943.71</v>
      </c>
      <c r="H193" s="47">
        <f>H112+H140+H169+H192</f>
        <v>1304077.22</v>
      </c>
      <c r="I193" s="47">
        <f>I112+I140+I169+I192</f>
        <v>0</v>
      </c>
      <c r="J193" s="47">
        <f>J112+J140+J192</f>
        <v>83239.14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7252157.0599999996</v>
      </c>
      <c r="G197" s="18">
        <v>4242468.1731988778</v>
      </c>
      <c r="H197" s="18">
        <v>60633.07</v>
      </c>
      <c r="I197" s="18">
        <v>339179.94</v>
      </c>
      <c r="J197" s="18">
        <v>169922.25</v>
      </c>
      <c r="K197" s="18">
        <v>0</v>
      </c>
      <c r="L197" s="19">
        <f>SUM(F197:K197)</f>
        <v>12064360.493198877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4185277.96</v>
      </c>
      <c r="G198" s="18">
        <v>2448362.3829970844</v>
      </c>
      <c r="H198" s="18">
        <v>1804555.71</v>
      </c>
      <c r="I198" s="18">
        <v>16861.080000000002</v>
      </c>
      <c r="J198" s="18">
        <v>0</v>
      </c>
      <c r="K198" s="18">
        <v>0</v>
      </c>
      <c r="L198" s="19">
        <f>SUM(F198:K198)</f>
        <v>8455057.1329970844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0</v>
      </c>
      <c r="G200" s="18"/>
      <c r="H200" s="18">
        <v>5485.84</v>
      </c>
      <c r="I200" s="18">
        <v>0</v>
      </c>
      <c r="J200" s="18">
        <v>0</v>
      </c>
      <c r="K200" s="18">
        <v>0</v>
      </c>
      <c r="L200" s="19">
        <f>SUM(F200:K200)</f>
        <v>5485.84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1427502.86</v>
      </c>
      <c r="G202" s="18">
        <v>835080.56990431133</v>
      </c>
      <c r="H202" s="18">
        <v>785315.62</v>
      </c>
      <c r="I202" s="18">
        <v>10598.32</v>
      </c>
      <c r="J202" s="18"/>
      <c r="K202" s="18">
        <v>0</v>
      </c>
      <c r="L202" s="19">
        <f t="shared" ref="L202:L208" si="0">SUM(F202:K202)</f>
        <v>3058497.3699043114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400929.63</v>
      </c>
      <c r="G203" s="18">
        <v>234541.41724936693</v>
      </c>
      <c r="H203" s="18">
        <v>8382.83</v>
      </c>
      <c r="I203" s="18">
        <v>126253.49</v>
      </c>
      <c r="J203" s="18">
        <v>12376.42</v>
      </c>
      <c r="K203" s="18">
        <v>1080.17</v>
      </c>
      <c r="L203" s="19">
        <f t="shared" si="0"/>
        <v>783563.95724936703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544917</v>
      </c>
      <c r="G204" s="18">
        <v>318773.16092420829</v>
      </c>
      <c r="H204" s="18">
        <v>194761.02</v>
      </c>
      <c r="I204" s="18">
        <v>16862.48</v>
      </c>
      <c r="J204" s="18">
        <v>64566.239999999998</v>
      </c>
      <c r="K204" s="18">
        <v>11681.9</v>
      </c>
      <c r="L204" s="19">
        <f t="shared" si="0"/>
        <v>1151561.8009242082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1141112.26</v>
      </c>
      <c r="G205" s="18">
        <v>667543.79490742064</v>
      </c>
      <c r="H205" s="18">
        <v>68955.06</v>
      </c>
      <c r="I205" s="18">
        <v>10189.65</v>
      </c>
      <c r="J205" s="18">
        <v>0</v>
      </c>
      <c r="K205" s="18">
        <v>7373.74</v>
      </c>
      <c r="L205" s="19">
        <f t="shared" si="0"/>
        <v>1895174.5049074206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152972.07</v>
      </c>
      <c r="G206" s="18">
        <v>89487.739026345764</v>
      </c>
      <c r="H206" s="18">
        <v>76512.05</v>
      </c>
      <c r="I206" s="18">
        <v>0</v>
      </c>
      <c r="J206" s="18">
        <v>0</v>
      </c>
      <c r="K206" s="18">
        <v>3321.21</v>
      </c>
      <c r="L206" s="19">
        <f t="shared" si="0"/>
        <v>322293.06902634579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1002342.77</v>
      </c>
      <c r="G207" s="18">
        <v>586364.47958574735</v>
      </c>
      <c r="H207" s="18">
        <v>403147.35</v>
      </c>
      <c r="I207" s="18">
        <v>492859.95</v>
      </c>
      <c r="J207" s="18">
        <v>5366.17</v>
      </c>
      <c r="K207" s="18">
        <v>0</v>
      </c>
      <c r="L207" s="19">
        <f t="shared" si="0"/>
        <v>2490080.7195857475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29216.880000000001</v>
      </c>
      <c r="G208" s="18">
        <v>17091.698717315267</v>
      </c>
      <c r="H208" s="18">
        <v>1378373.04</v>
      </c>
      <c r="I208" s="18">
        <v>0</v>
      </c>
      <c r="J208" s="18">
        <v>0</v>
      </c>
      <c r="K208" s="18">
        <v>0</v>
      </c>
      <c r="L208" s="19">
        <f t="shared" si="0"/>
        <v>1424681.6187173154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52932.5</v>
      </c>
      <c r="G209" s="18">
        <v>30965.193489321591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83897.693489321595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16189360.99</v>
      </c>
      <c r="G211" s="41">
        <f t="shared" si="1"/>
        <v>9470678.6099999994</v>
      </c>
      <c r="H211" s="41">
        <f t="shared" si="1"/>
        <v>4786121.59</v>
      </c>
      <c r="I211" s="41">
        <f t="shared" si="1"/>
        <v>1012804.91</v>
      </c>
      <c r="J211" s="41">
        <f t="shared" si="1"/>
        <v>252231.08000000002</v>
      </c>
      <c r="K211" s="41">
        <f t="shared" si="1"/>
        <v>23457.019999999997</v>
      </c>
      <c r="L211" s="41">
        <f t="shared" si="1"/>
        <v>31734654.199999999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2635364.12</v>
      </c>
      <c r="G215" s="18">
        <v>1532829.991892877</v>
      </c>
      <c r="H215" s="18">
        <v>17026.96</v>
      </c>
      <c r="I215" s="18">
        <v>77879.539999999994</v>
      </c>
      <c r="J215" s="18">
        <v>43661.89</v>
      </c>
      <c r="K215" s="18">
        <v>0</v>
      </c>
      <c r="L215" s="19">
        <f>SUM(F215:K215)</f>
        <v>4306762.5018928768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1217508.54</v>
      </c>
      <c r="G216" s="18">
        <v>708150.19121445285</v>
      </c>
      <c r="H216" s="18">
        <v>599470.19999999995</v>
      </c>
      <c r="I216" s="18">
        <v>922.17</v>
      </c>
      <c r="J216" s="18">
        <v>0</v>
      </c>
      <c r="K216" s="18">
        <v>0</v>
      </c>
      <c r="L216" s="19">
        <f>SUM(F216:K216)</f>
        <v>2526051.1012144526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40040</v>
      </c>
      <c r="G218" s="18">
        <v>23288.817059325673</v>
      </c>
      <c r="H218" s="18">
        <v>9049</v>
      </c>
      <c r="I218" s="18">
        <v>8673.58</v>
      </c>
      <c r="J218" s="18">
        <v>0</v>
      </c>
      <c r="K218" s="18">
        <v>0</v>
      </c>
      <c r="L218" s="19">
        <f>SUM(F218:K218)</f>
        <v>81051.397059325667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335251.8</v>
      </c>
      <c r="G220" s="18">
        <v>194995.45052471623</v>
      </c>
      <c r="H220" s="18">
        <v>283424.55</v>
      </c>
      <c r="I220" s="18">
        <v>577.37</v>
      </c>
      <c r="J220" s="18">
        <v>0</v>
      </c>
      <c r="K220" s="18"/>
      <c r="L220" s="19">
        <f t="shared" ref="L220:L226" si="2">SUM(F220:K220)</f>
        <v>814249.17052471626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128297.48</v>
      </c>
      <c r="G221" s="18">
        <v>74622.790731580768</v>
      </c>
      <c r="H221" s="18">
        <v>2682.5</v>
      </c>
      <c r="I221" s="18">
        <v>40401.120000000003</v>
      </c>
      <c r="J221" s="18">
        <v>3960.45</v>
      </c>
      <c r="K221" s="18">
        <v>345.65</v>
      </c>
      <c r="L221" s="19">
        <f t="shared" si="2"/>
        <v>250309.99073158076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174373.44</v>
      </c>
      <c r="G222" s="18">
        <v>101422.35624788467</v>
      </c>
      <c r="H222" s="18">
        <v>62323.519999999997</v>
      </c>
      <c r="I222" s="18">
        <v>5395.99</v>
      </c>
      <c r="J222" s="18">
        <v>20661.2</v>
      </c>
      <c r="K222" s="18">
        <v>3738.21</v>
      </c>
      <c r="L222" s="19">
        <f t="shared" si="2"/>
        <v>367914.71624788473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265598.93</v>
      </c>
      <c r="G223" s="18">
        <v>154482.63965840774</v>
      </c>
      <c r="H223" s="18">
        <v>21912.02</v>
      </c>
      <c r="I223" s="18">
        <v>5111.58</v>
      </c>
      <c r="J223" s="18">
        <v>0</v>
      </c>
      <c r="K223" s="18">
        <v>3745</v>
      </c>
      <c r="L223" s="19">
        <f t="shared" si="2"/>
        <v>450850.16965840774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57500.02</v>
      </c>
      <c r="G224" s="18">
        <v>33444.241925263916</v>
      </c>
      <c r="H224" s="18">
        <v>24483.86</v>
      </c>
      <c r="I224" s="18">
        <v>0</v>
      </c>
      <c r="J224" s="18">
        <v>0</v>
      </c>
      <c r="K224" s="18">
        <v>1062.79</v>
      </c>
      <c r="L224" s="19">
        <f t="shared" si="2"/>
        <v>116490.91192526391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330257.68</v>
      </c>
      <c r="G225" s="18">
        <v>192090.67662231068</v>
      </c>
      <c r="H225" s="18">
        <v>128239.88</v>
      </c>
      <c r="I225" s="18">
        <v>224597.27</v>
      </c>
      <c r="J225" s="18">
        <v>1717.17</v>
      </c>
      <c r="K225" s="18">
        <v>0</v>
      </c>
      <c r="L225" s="19">
        <f t="shared" si="2"/>
        <v>876902.67662231077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9349.4</v>
      </c>
      <c r="G226" s="18">
        <v>5437.9736816798058</v>
      </c>
      <c r="H226" s="18">
        <v>501699.06</v>
      </c>
      <c r="I226" s="18">
        <v>0</v>
      </c>
      <c r="J226" s="18">
        <v>0</v>
      </c>
      <c r="K226" s="18">
        <v>0</v>
      </c>
      <c r="L226" s="19">
        <f t="shared" si="2"/>
        <v>516486.43368167977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16938.400000000001</v>
      </c>
      <c r="G227" s="18">
        <v>9852.0304415005503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26790.430441500554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5210479.8100000005</v>
      </c>
      <c r="G229" s="41">
        <f>SUM(G215:G228)</f>
        <v>3030617.16</v>
      </c>
      <c r="H229" s="41">
        <f>SUM(H215:H228)</f>
        <v>1650311.55</v>
      </c>
      <c r="I229" s="41">
        <f>SUM(I215:I228)</f>
        <v>363558.62</v>
      </c>
      <c r="J229" s="41">
        <f>SUM(J215:J228)</f>
        <v>70000.709999999992</v>
      </c>
      <c r="K229" s="41">
        <f t="shared" si="3"/>
        <v>8891.6500000000015</v>
      </c>
      <c r="L229" s="41">
        <f t="shared" si="3"/>
        <v>10333859.5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5401191.8799999999</v>
      </c>
      <c r="G233" s="18">
        <v>3369409.9160157442</v>
      </c>
      <c r="H233" s="18">
        <v>104658.89</v>
      </c>
      <c r="I233" s="18">
        <v>215549.36</v>
      </c>
      <c r="J233" s="18">
        <v>134442.19</v>
      </c>
      <c r="K233" s="18">
        <v>0</v>
      </c>
      <c r="L233" s="19">
        <f>SUM(F233:K233)</f>
        <v>9225252.2360157426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2097687.4500000002</v>
      </c>
      <c r="G234" s="18">
        <v>1308594.2976593124</v>
      </c>
      <c r="H234" s="18">
        <v>2525930.91</v>
      </c>
      <c r="I234" s="18">
        <v>1959.6</v>
      </c>
      <c r="J234" s="18">
        <v>0</v>
      </c>
      <c r="K234" s="18">
        <v>0</v>
      </c>
      <c r="L234" s="19">
        <f>SUM(F234:K234)</f>
        <v>5934172.2576593123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17083.38</v>
      </c>
      <c r="I235" s="18"/>
      <c r="J235" s="18"/>
      <c r="K235" s="18"/>
      <c r="L235" s="19">
        <f>SUM(F235:K235)</f>
        <v>17083.38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353759.57</v>
      </c>
      <c r="G236" s="18">
        <v>220684.80985783195</v>
      </c>
      <c r="H236" s="18">
        <v>80170.97</v>
      </c>
      <c r="I236" s="18">
        <v>90434.9</v>
      </c>
      <c r="J236" s="18">
        <v>17928.060000000001</v>
      </c>
      <c r="K236" s="18">
        <v>17647</v>
      </c>
      <c r="L236" s="19">
        <f>SUM(F236:K236)</f>
        <v>780625.30985783204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663153.1</v>
      </c>
      <c r="G238" s="18">
        <v>413692.8812417197</v>
      </c>
      <c r="H238" s="18">
        <v>336142.89</v>
      </c>
      <c r="I238" s="18">
        <v>2723.23</v>
      </c>
      <c r="J238" s="18">
        <v>0</v>
      </c>
      <c r="K238" s="18">
        <v>0</v>
      </c>
      <c r="L238" s="19">
        <f t="shared" ref="L238:L244" si="4">SUM(F238:K238)</f>
        <v>1415712.1012417199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272632.15000000002</v>
      </c>
      <c r="G239" s="18">
        <v>170075.32597317983</v>
      </c>
      <c r="H239" s="18"/>
      <c r="I239" s="18">
        <v>85852.37</v>
      </c>
      <c r="J239" s="18">
        <v>8415.9599999999991</v>
      </c>
      <c r="K239" s="18">
        <v>734.52</v>
      </c>
      <c r="L239" s="19">
        <f t="shared" si="4"/>
        <v>537710.32597317989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370543.56</v>
      </c>
      <c r="G240" s="18">
        <v>231155.11781813885</v>
      </c>
      <c r="H240" s="18">
        <v>132437.49</v>
      </c>
      <c r="I240" s="18">
        <v>11466.48</v>
      </c>
      <c r="J240" s="18">
        <v>43905.04</v>
      </c>
      <c r="K240" s="18">
        <v>7943.69</v>
      </c>
      <c r="L240" s="19">
        <f t="shared" si="4"/>
        <v>797451.3778181388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509273.21</v>
      </c>
      <c r="G241" s="18">
        <v>317698.43431949482</v>
      </c>
      <c r="H241" s="18">
        <v>45810.21</v>
      </c>
      <c r="I241" s="18">
        <v>9156.35</v>
      </c>
      <c r="J241" s="18">
        <v>0</v>
      </c>
      <c r="K241" s="18">
        <v>38791.65</v>
      </c>
      <c r="L241" s="19">
        <f t="shared" si="4"/>
        <v>920729.8543194948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121841.04</v>
      </c>
      <c r="G242" s="18">
        <v>76007.743748898429</v>
      </c>
      <c r="H242" s="18">
        <v>52028.19</v>
      </c>
      <c r="I242" s="18">
        <v>0</v>
      </c>
      <c r="J242" s="18">
        <v>0</v>
      </c>
      <c r="K242" s="18">
        <v>2258.42</v>
      </c>
      <c r="L242" s="19">
        <f t="shared" si="4"/>
        <v>252135.39374889844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477528.07</v>
      </c>
      <c r="G243" s="18">
        <v>297894.95540637238</v>
      </c>
      <c r="H243" s="18">
        <v>293418.71999999997</v>
      </c>
      <c r="I243" s="18">
        <v>296246.24</v>
      </c>
      <c r="J243" s="18">
        <v>3648.99</v>
      </c>
      <c r="K243" s="18">
        <v>0</v>
      </c>
      <c r="L243" s="19">
        <f t="shared" si="4"/>
        <v>1368736.9754063725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19867.48</v>
      </c>
      <c r="G244" s="18">
        <v>12393.872612843461</v>
      </c>
      <c r="H244" s="18">
        <v>1354132.49</v>
      </c>
      <c r="I244" s="18">
        <v>0</v>
      </c>
      <c r="J244" s="18">
        <v>0</v>
      </c>
      <c r="K244" s="18">
        <v>0</v>
      </c>
      <c r="L244" s="19">
        <f t="shared" si="4"/>
        <v>1386393.8426128435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35994.1</v>
      </c>
      <c r="G245" s="18">
        <v>22454.095346463106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58448.195346463108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10323471.610000001</v>
      </c>
      <c r="G247" s="41">
        <f t="shared" si="5"/>
        <v>6440061.4499999993</v>
      </c>
      <c r="H247" s="41">
        <f t="shared" si="5"/>
        <v>4941814.1400000006</v>
      </c>
      <c r="I247" s="41">
        <f t="shared" si="5"/>
        <v>713388.52999999991</v>
      </c>
      <c r="J247" s="41">
        <f t="shared" si="5"/>
        <v>208340.24</v>
      </c>
      <c r="K247" s="41">
        <f t="shared" si="5"/>
        <v>67375.28</v>
      </c>
      <c r="L247" s="41">
        <f t="shared" si="5"/>
        <v>22694451.249999996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f>16889</f>
        <v>16889</v>
      </c>
      <c r="G251" s="18">
        <v>5700.27</v>
      </c>
      <c r="H251" s="18"/>
      <c r="I251" s="18">
        <v>1408.81</v>
      </c>
      <c r="J251" s="18"/>
      <c r="K251" s="18"/>
      <c r="L251" s="19">
        <f t="shared" si="6"/>
        <v>23998.080000000002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2925713.11</v>
      </c>
      <c r="I255" s="18"/>
      <c r="J255" s="18"/>
      <c r="K255" s="18"/>
      <c r="L255" s="19">
        <f t="shared" si="6"/>
        <v>2925713.11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16889</v>
      </c>
      <c r="G256" s="41">
        <f t="shared" si="7"/>
        <v>5700.27</v>
      </c>
      <c r="H256" s="41">
        <f t="shared" si="7"/>
        <v>2925713.11</v>
      </c>
      <c r="I256" s="41">
        <f t="shared" si="7"/>
        <v>1408.81</v>
      </c>
      <c r="J256" s="41">
        <f t="shared" si="7"/>
        <v>0</v>
      </c>
      <c r="K256" s="41">
        <f t="shared" si="7"/>
        <v>0</v>
      </c>
      <c r="L256" s="41">
        <f>SUM(F256:K256)</f>
        <v>2949711.19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31740201.410000004</v>
      </c>
      <c r="G257" s="41">
        <f t="shared" si="8"/>
        <v>18947057.489999998</v>
      </c>
      <c r="H257" s="41">
        <f t="shared" si="8"/>
        <v>14303960.390000001</v>
      </c>
      <c r="I257" s="41">
        <f t="shared" si="8"/>
        <v>2091160.87</v>
      </c>
      <c r="J257" s="41">
        <f t="shared" si="8"/>
        <v>530572.03</v>
      </c>
      <c r="K257" s="41">
        <f t="shared" si="8"/>
        <v>99723.95</v>
      </c>
      <c r="L257" s="41">
        <f t="shared" si="8"/>
        <v>67712676.140000001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1070000</v>
      </c>
      <c r="L260" s="19">
        <f>SUM(F260:K260)</f>
        <v>1070000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265590</v>
      </c>
      <c r="L261" s="19">
        <f>SUM(F261:K261)</f>
        <v>265590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48054.39</v>
      </c>
      <c r="L263" s="19">
        <f>SUM(F263:K263)</f>
        <v>48054.39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75000</v>
      </c>
      <c r="L266" s="19">
        <f t="shared" si="9"/>
        <v>75000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1458644.39</v>
      </c>
      <c r="L270" s="41">
        <f t="shared" si="9"/>
        <v>1458644.39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31740201.410000004</v>
      </c>
      <c r="G271" s="42">
        <f t="shared" si="11"/>
        <v>18947057.489999998</v>
      </c>
      <c r="H271" s="42">
        <f t="shared" si="11"/>
        <v>14303960.390000001</v>
      </c>
      <c r="I271" s="42">
        <f t="shared" si="11"/>
        <v>2091160.87</v>
      </c>
      <c r="J271" s="42">
        <f t="shared" si="11"/>
        <v>530572.03</v>
      </c>
      <c r="K271" s="42">
        <f t="shared" si="11"/>
        <v>1558368.3399999999</v>
      </c>
      <c r="L271" s="42">
        <f t="shared" si="11"/>
        <v>69171320.530000001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211876.3</v>
      </c>
      <c r="G276" s="18"/>
      <c r="H276" s="18"/>
      <c r="I276" s="18">
        <v>2917.44</v>
      </c>
      <c r="J276" s="18"/>
      <c r="K276" s="18"/>
      <c r="L276" s="19">
        <f>SUM(F276:K276)</f>
        <v>214793.74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61186.5</v>
      </c>
      <c r="G277" s="18"/>
      <c r="H277" s="18"/>
      <c r="I277" s="18"/>
      <c r="J277" s="18"/>
      <c r="K277" s="18"/>
      <c r="L277" s="19">
        <f>SUM(F277:K277)</f>
        <v>61186.5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23043.51</v>
      </c>
      <c r="G279" s="18"/>
      <c r="H279" s="18"/>
      <c r="I279" s="18"/>
      <c r="J279" s="18"/>
      <c r="K279" s="18"/>
      <c r="L279" s="19">
        <f>SUM(F279:K279)</f>
        <v>23043.51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465242.4</v>
      </c>
      <c r="I281" s="18"/>
      <c r="J281" s="18"/>
      <c r="K281" s="18"/>
      <c r="L281" s="19">
        <f t="shared" ref="L281:L287" si="12">SUM(F281:K281)</f>
        <v>465242.4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36158.71</v>
      </c>
      <c r="I282" s="18">
        <v>31764.639999999999</v>
      </c>
      <c r="J282" s="18">
        <v>53807.83</v>
      </c>
      <c r="K282" s="18"/>
      <c r="L282" s="19">
        <f t="shared" si="12"/>
        <v>121731.18000000001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296106.31</v>
      </c>
      <c r="G290" s="42">
        <f t="shared" si="13"/>
        <v>0</v>
      </c>
      <c r="H290" s="42">
        <f t="shared" si="13"/>
        <v>501401.11000000004</v>
      </c>
      <c r="I290" s="42">
        <f t="shared" si="13"/>
        <v>34682.080000000002</v>
      </c>
      <c r="J290" s="42">
        <f t="shared" si="13"/>
        <v>53807.83</v>
      </c>
      <c r="K290" s="42">
        <f t="shared" si="13"/>
        <v>0</v>
      </c>
      <c r="L290" s="41">
        <f t="shared" si="13"/>
        <v>885997.33000000007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>
        <v>100964.8</v>
      </c>
      <c r="I300" s="18"/>
      <c r="J300" s="18"/>
      <c r="K300" s="18"/>
      <c r="L300" s="19">
        <f t="shared" ref="L300:L306" si="14">SUM(F300:K300)</f>
        <v>100964.8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>
        <v>700</v>
      </c>
      <c r="I301" s="18"/>
      <c r="J301" s="18">
        <v>1416.72</v>
      </c>
      <c r="K301" s="18"/>
      <c r="L301" s="19">
        <f t="shared" si="14"/>
        <v>2116.7200000000003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>
        <v>108.6</v>
      </c>
      <c r="J302" s="18"/>
      <c r="K302" s="18"/>
      <c r="L302" s="19">
        <f t="shared" si="14"/>
        <v>108.6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>
        <v>124557.29</v>
      </c>
      <c r="I303" s="18"/>
      <c r="J303" s="18"/>
      <c r="K303" s="18"/>
      <c r="L303" s="19">
        <f t="shared" si="14"/>
        <v>124557.29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226222.09</v>
      </c>
      <c r="I309" s="42">
        <f t="shared" si="15"/>
        <v>108.6</v>
      </c>
      <c r="J309" s="42">
        <f t="shared" si="15"/>
        <v>1416.72</v>
      </c>
      <c r="K309" s="42">
        <f t="shared" si="15"/>
        <v>0</v>
      </c>
      <c r="L309" s="41">
        <f t="shared" si="15"/>
        <v>227747.41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>
        <v>16915.95</v>
      </c>
      <c r="J314" s="18"/>
      <c r="K314" s="18"/>
      <c r="L314" s="19">
        <f>SUM(F314:K314)</f>
        <v>16915.95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54977</v>
      </c>
      <c r="G315" s="18"/>
      <c r="H315" s="18"/>
      <c r="I315" s="18"/>
      <c r="J315" s="18"/>
      <c r="K315" s="18"/>
      <c r="L315" s="19">
        <f>SUM(F315:K315)</f>
        <v>54977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v>33719.96</v>
      </c>
      <c r="I319" s="18"/>
      <c r="J319" s="18"/>
      <c r="K319" s="18"/>
      <c r="L319" s="19">
        <f t="shared" ref="L319:L325" si="16">SUM(F319:K319)</f>
        <v>33719.96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>
        <v>24000</v>
      </c>
      <c r="I320" s="18">
        <v>9865.43</v>
      </c>
      <c r="J320" s="18">
        <v>50854.14</v>
      </c>
      <c r="K320" s="18"/>
      <c r="L320" s="19">
        <f t="shared" si="16"/>
        <v>84719.57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54977</v>
      </c>
      <c r="G328" s="42">
        <f t="shared" si="17"/>
        <v>0</v>
      </c>
      <c r="H328" s="42">
        <f t="shared" si="17"/>
        <v>57719.96</v>
      </c>
      <c r="I328" s="42">
        <f t="shared" si="17"/>
        <v>26781.38</v>
      </c>
      <c r="J328" s="42">
        <f t="shared" si="17"/>
        <v>50854.14</v>
      </c>
      <c r="K328" s="42">
        <f t="shared" si="17"/>
        <v>0</v>
      </c>
      <c r="L328" s="41">
        <f t="shared" si="17"/>
        <v>190332.48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351083.31</v>
      </c>
      <c r="G338" s="41">
        <f t="shared" si="20"/>
        <v>0</v>
      </c>
      <c r="H338" s="41">
        <f t="shared" si="20"/>
        <v>785343.16</v>
      </c>
      <c r="I338" s="41">
        <f t="shared" si="20"/>
        <v>61572.06</v>
      </c>
      <c r="J338" s="41">
        <f t="shared" si="20"/>
        <v>106078.69</v>
      </c>
      <c r="K338" s="41">
        <f t="shared" si="20"/>
        <v>0</v>
      </c>
      <c r="L338" s="41">
        <f t="shared" si="20"/>
        <v>1304077.22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351083.31</v>
      </c>
      <c r="G352" s="41">
        <f>G338</f>
        <v>0</v>
      </c>
      <c r="H352" s="41">
        <f>H338</f>
        <v>785343.16</v>
      </c>
      <c r="I352" s="41">
        <f>I338</f>
        <v>61572.06</v>
      </c>
      <c r="J352" s="41">
        <f>J338</f>
        <v>106078.69</v>
      </c>
      <c r="K352" s="47">
        <f>K338+K351</f>
        <v>0</v>
      </c>
      <c r="L352" s="41">
        <f>L338+L351</f>
        <v>1304077.22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285383.49</v>
      </c>
      <c r="G358" s="18"/>
      <c r="H358" s="18">
        <v>7693.12</v>
      </c>
      <c r="I358" s="18">
        <v>315020.64</v>
      </c>
      <c r="J358" s="18">
        <v>1048.23</v>
      </c>
      <c r="K358" s="18">
        <v>125</v>
      </c>
      <c r="L358" s="13">
        <f>SUM(F358:K358)</f>
        <v>609270.48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87864.44</v>
      </c>
      <c r="G359" s="18"/>
      <c r="H359" s="18">
        <v>2461.8000000000002</v>
      </c>
      <c r="I359" s="18">
        <v>100806.6</v>
      </c>
      <c r="J359" s="18">
        <v>335.43</v>
      </c>
      <c r="K359" s="18">
        <v>40</v>
      </c>
      <c r="L359" s="19">
        <f>SUM(F359:K359)</f>
        <v>191508.27000000002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235644.97</v>
      </c>
      <c r="G360" s="18"/>
      <c r="H360" s="18">
        <v>5231.32</v>
      </c>
      <c r="I360" s="18">
        <v>214214.03</v>
      </c>
      <c r="J360" s="18">
        <v>712.8</v>
      </c>
      <c r="K360" s="18">
        <v>85</v>
      </c>
      <c r="L360" s="19">
        <f>SUM(F360:K360)</f>
        <v>455888.12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608892.9</v>
      </c>
      <c r="G362" s="47">
        <f t="shared" si="22"/>
        <v>0</v>
      </c>
      <c r="H362" s="47">
        <f t="shared" si="22"/>
        <v>15386.24</v>
      </c>
      <c r="I362" s="47">
        <f t="shared" si="22"/>
        <v>630041.27</v>
      </c>
      <c r="J362" s="47">
        <f t="shared" si="22"/>
        <v>2096.46</v>
      </c>
      <c r="K362" s="47">
        <f t="shared" si="22"/>
        <v>250</v>
      </c>
      <c r="L362" s="47">
        <f t="shared" si="22"/>
        <v>1256666.8700000001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280711.01</v>
      </c>
      <c r="G367" s="18">
        <v>89827.520000000004</v>
      </c>
      <c r="H367" s="18">
        <v>190883.48</v>
      </c>
      <c r="I367" s="56">
        <f>SUM(F367:H367)</f>
        <v>561422.01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34309.629999999997</v>
      </c>
      <c r="G368" s="63">
        <v>10979.08</v>
      </c>
      <c r="H368" s="63">
        <v>23330.55</v>
      </c>
      <c r="I368" s="56">
        <f>SUM(F368:H368)</f>
        <v>68619.259999999995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315020.64</v>
      </c>
      <c r="G369" s="47">
        <f>SUM(G367:G368)</f>
        <v>100806.6</v>
      </c>
      <c r="H369" s="47">
        <f>SUM(H367:H368)</f>
        <v>214214.03</v>
      </c>
      <c r="I369" s="47">
        <f>SUM(I367:I368)</f>
        <v>630041.27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75000</v>
      </c>
      <c r="H396" s="18">
        <f>1650.85+7.89+20.72</f>
        <v>1679.46</v>
      </c>
      <c r="I396" s="18"/>
      <c r="J396" s="24" t="s">
        <v>286</v>
      </c>
      <c r="K396" s="24" t="s">
        <v>286</v>
      </c>
      <c r="L396" s="56">
        <f t="shared" si="26"/>
        <v>76679.460000000006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5545.63</v>
      </c>
      <c r="I397" s="18"/>
      <c r="J397" s="24" t="s">
        <v>286</v>
      </c>
      <c r="K397" s="24" t="s">
        <v>286</v>
      </c>
      <c r="L397" s="56">
        <f t="shared" si="26"/>
        <v>5545.63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1014.05</v>
      </c>
      <c r="I400" s="18"/>
      <c r="J400" s="24" t="s">
        <v>286</v>
      </c>
      <c r="K400" s="24" t="s">
        <v>286</v>
      </c>
      <c r="L400" s="56">
        <f t="shared" si="26"/>
        <v>1014.05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8239.14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83239.140000000014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8239.14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83239.140000000014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4"/>
      <c r="I422" s="18"/>
      <c r="J422" s="18"/>
      <c r="K422" s="18">
        <v>225000</v>
      </c>
      <c r="L422" s="56">
        <f>SUM(F422:K422)</f>
        <v>225000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225000</v>
      </c>
      <c r="L427" s="47">
        <f t="shared" si="30"/>
        <v>225000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225000</v>
      </c>
      <c r="L434" s="47">
        <f t="shared" si="32"/>
        <v>225000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608224.73</v>
      </c>
      <c r="G440" s="18"/>
      <c r="H440" s="18"/>
      <c r="I440" s="56">
        <f t="shared" si="33"/>
        <v>608224.73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608224.73</v>
      </c>
      <c r="G446" s="13">
        <f>SUM(G439:G445)</f>
        <v>0</v>
      </c>
      <c r="H446" s="13">
        <f>SUM(H439:H445)</f>
        <v>0</v>
      </c>
      <c r="I446" s="13">
        <f>SUM(I439:I445)</f>
        <v>608224.73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608224.73</v>
      </c>
      <c r="G459" s="18"/>
      <c r="H459" s="18"/>
      <c r="I459" s="56">
        <f t="shared" si="34"/>
        <v>608224.73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608224.73</v>
      </c>
      <c r="G460" s="83">
        <f>SUM(G454:G459)</f>
        <v>0</v>
      </c>
      <c r="H460" s="83">
        <f>SUM(H454:H459)</f>
        <v>0</v>
      </c>
      <c r="I460" s="83">
        <f>SUM(I454:I459)</f>
        <v>608224.73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608224.73</v>
      </c>
      <c r="G461" s="42">
        <f>G452+G460</f>
        <v>0</v>
      </c>
      <c r="H461" s="42">
        <f>H452+H460</f>
        <v>0</v>
      </c>
      <c r="I461" s="42">
        <f>I452+I460</f>
        <v>608224.73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3336390.81</v>
      </c>
      <c r="G465" s="18">
        <f>45889.03-7276.84</f>
        <v>38612.19</v>
      </c>
      <c r="H465" s="18">
        <v>0</v>
      </c>
      <c r="I465" s="18"/>
      <c r="J465" s="18">
        <v>749985.59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68952441.659999996</v>
      </c>
      <c r="G468" s="18">
        <f>913650.71+16568.17+285670.44+48054.39</f>
        <v>1263943.71</v>
      </c>
      <c r="H468" s="18">
        <v>1304077.22</v>
      </c>
      <c r="I468" s="18"/>
      <c r="J468" s="18">
        <f>8239.14+75000</f>
        <v>83239.14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68952441.659999996</v>
      </c>
      <c r="G470" s="53">
        <f>SUM(G468:G469)</f>
        <v>1263943.71</v>
      </c>
      <c r="H470" s="53">
        <f>SUM(H468:H469)</f>
        <v>1304077.22</v>
      </c>
      <c r="I470" s="53">
        <f>SUM(I468:I469)</f>
        <v>0</v>
      </c>
      <c r="J470" s="53">
        <f>SUM(J468:J469)</f>
        <v>83239.14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69171320.530000001</v>
      </c>
      <c r="G472" s="18">
        <v>1256666.8700000001</v>
      </c>
      <c r="H472" s="18">
        <v>1304077.22</v>
      </c>
      <c r="I472" s="18"/>
      <c r="J472" s="18">
        <v>225000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69171320.530000001</v>
      </c>
      <c r="G474" s="53">
        <f>SUM(G472:G473)</f>
        <v>1256666.8700000001</v>
      </c>
      <c r="H474" s="53">
        <f>SUM(H472:H473)</f>
        <v>1304077.22</v>
      </c>
      <c r="I474" s="53">
        <f>SUM(I472:I473)</f>
        <v>0</v>
      </c>
      <c r="J474" s="53">
        <f>SUM(J472:J473)</f>
        <v>225000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3117511.9399999976</v>
      </c>
      <c r="G476" s="53">
        <f>(G465+G470)- G474</f>
        <v>45889.029999999795</v>
      </c>
      <c r="H476" s="53">
        <f>(H465+H470)- H474</f>
        <v>0</v>
      </c>
      <c r="I476" s="53">
        <f>(I465+I470)- I474</f>
        <v>0</v>
      </c>
      <c r="J476" s="53">
        <f>(J465+J470)- J474</f>
        <v>608224.73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20</v>
      </c>
      <c r="H490" s="154">
        <v>12</v>
      </c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 t="s">
        <v>913</v>
      </c>
      <c r="H491" s="154" t="s">
        <v>914</v>
      </c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915</v>
      </c>
      <c r="G492" s="155" t="s">
        <v>916</v>
      </c>
      <c r="H492" s="154" t="s">
        <v>917</v>
      </c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5915851</v>
      </c>
      <c r="G493" s="18">
        <v>15525000</v>
      </c>
      <c r="H493" s="18">
        <v>3675816</v>
      </c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5.31</v>
      </c>
      <c r="G494" s="18">
        <v>3.52</v>
      </c>
      <c r="H494" s="18">
        <v>4.4800000000000004</v>
      </c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f>1535000-295000-295000</f>
        <v>945000</v>
      </c>
      <c r="G495" s="18">
        <f>6200000-775000-775000</f>
        <v>4650000</v>
      </c>
      <c r="H495" s="18">
        <f>1713618-245382-245382</f>
        <v>1222854</v>
      </c>
      <c r="I495" s="18"/>
      <c r="J495" s="18"/>
      <c r="K495" s="53">
        <f>SUM(F495:J495)</f>
        <v>6817854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295000</v>
      </c>
      <c r="G497" s="18">
        <v>775000</v>
      </c>
      <c r="H497" s="18">
        <v>245382</v>
      </c>
      <c r="I497" s="18"/>
      <c r="J497" s="18"/>
      <c r="K497" s="53">
        <f t="shared" si="35"/>
        <v>1315382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1535000-295000-295000</f>
        <v>945000</v>
      </c>
      <c r="G498" s="204">
        <f>6200000-775000-775000</f>
        <v>4650000</v>
      </c>
      <c r="H498" s="204">
        <f>1713618-245382-245382</f>
        <v>1222854</v>
      </c>
      <c r="I498" s="204"/>
      <c r="J498" s="204"/>
      <c r="K498" s="205">
        <f t="shared" si="35"/>
        <v>6817854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132223-72573</f>
        <v>59650</v>
      </c>
      <c r="G499" s="18">
        <f>1100500-267375</f>
        <v>833125</v>
      </c>
      <c r="H499" s="18">
        <f>167641-71354</f>
        <v>96287</v>
      </c>
      <c r="I499" s="18"/>
      <c r="J499" s="18"/>
      <c r="K499" s="53">
        <f t="shared" si="35"/>
        <v>989062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1004650</v>
      </c>
      <c r="G500" s="42">
        <f>SUM(G498:G499)</f>
        <v>5483125</v>
      </c>
      <c r="H500" s="42">
        <f>SUM(H498:H499)</f>
        <v>1319141</v>
      </c>
      <c r="I500" s="42">
        <f>SUM(I498:I499)</f>
        <v>0</v>
      </c>
      <c r="J500" s="42">
        <f>SUM(J498:J499)</f>
        <v>0</v>
      </c>
      <c r="K500" s="42">
        <f t="shared" si="35"/>
        <v>7806916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295000</v>
      </c>
      <c r="G501" s="204">
        <v>775000</v>
      </c>
      <c r="H501" s="204">
        <v>245382</v>
      </c>
      <c r="I501" s="204"/>
      <c r="J501" s="204"/>
      <c r="K501" s="205">
        <f t="shared" si="35"/>
        <v>1315382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40563</v>
      </c>
      <c r="G502" s="18">
        <v>190844</v>
      </c>
      <c r="H502" s="18">
        <v>67535</v>
      </c>
      <c r="I502" s="18"/>
      <c r="J502" s="18"/>
      <c r="K502" s="53">
        <f t="shared" si="35"/>
        <v>298942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335563</v>
      </c>
      <c r="G503" s="42">
        <f>SUM(G501:G502)</f>
        <v>965844</v>
      </c>
      <c r="H503" s="42">
        <f>SUM(H501:H502)</f>
        <v>312917</v>
      </c>
      <c r="I503" s="42">
        <f>SUM(I501:I502)</f>
        <v>0</v>
      </c>
      <c r="J503" s="42">
        <f>SUM(J501:J502)</f>
        <v>0</v>
      </c>
      <c r="K503" s="42">
        <f t="shared" si="35"/>
        <v>1614324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4185277.96</v>
      </c>
      <c r="G521" s="18">
        <v>2448362.3829970844</v>
      </c>
      <c r="H521" s="18">
        <v>1804555.71</v>
      </c>
      <c r="I521" s="18">
        <v>16861.080000000002</v>
      </c>
      <c r="J521" s="18"/>
      <c r="K521" s="18"/>
      <c r="L521" s="88">
        <f>SUM(F521:K521)</f>
        <v>8455057.1329970844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1217508.54</v>
      </c>
      <c r="G522" s="18">
        <v>708150.19121445285</v>
      </c>
      <c r="H522" s="18">
        <v>599470.19999999995</v>
      </c>
      <c r="I522" s="18">
        <v>922.17</v>
      </c>
      <c r="J522" s="18"/>
      <c r="K522" s="18"/>
      <c r="L522" s="88">
        <f>SUM(F522:K522)</f>
        <v>2526051.1012144526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2097687.4500000002</v>
      </c>
      <c r="G523" s="18">
        <v>1308594.2976593124</v>
      </c>
      <c r="H523" s="18">
        <v>2525930.91</v>
      </c>
      <c r="I523" s="18">
        <v>1959.6</v>
      </c>
      <c r="J523" s="18"/>
      <c r="K523" s="18"/>
      <c r="L523" s="88">
        <f>SUM(F523:K523)</f>
        <v>5934172.2576593123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7500473.9500000002</v>
      </c>
      <c r="G524" s="108">
        <f t="shared" ref="G524:L524" si="36">SUM(G521:G523)</f>
        <v>4465106.8718708493</v>
      </c>
      <c r="H524" s="108">
        <f t="shared" si="36"/>
        <v>4929956.82</v>
      </c>
      <c r="I524" s="108">
        <f t="shared" si="36"/>
        <v>19742.849999999999</v>
      </c>
      <c r="J524" s="108">
        <f t="shared" si="36"/>
        <v>0</v>
      </c>
      <c r="K524" s="108">
        <f t="shared" si="36"/>
        <v>0</v>
      </c>
      <c r="L524" s="89">
        <f t="shared" si="36"/>
        <v>16915280.49187085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932761.69</v>
      </c>
      <c r="G526" s="18">
        <v>105234.45</v>
      </c>
      <c r="H526" s="18">
        <v>395792.6</v>
      </c>
      <c r="I526" s="18">
        <v>1292.8399999999999</v>
      </c>
      <c r="J526" s="18"/>
      <c r="K526" s="18"/>
      <c r="L526" s="88">
        <f>SUM(F526:K526)</f>
        <v>1435081.5799999998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130691.45</v>
      </c>
      <c r="G527" s="18">
        <v>25666.3</v>
      </c>
      <c r="H527" s="18">
        <v>99076.45</v>
      </c>
      <c r="I527" s="18">
        <v>1410.27</v>
      </c>
      <c r="J527" s="18"/>
      <c r="K527" s="18"/>
      <c r="L527" s="88">
        <f>SUM(F527:K527)</f>
        <v>256844.47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137821</v>
      </c>
      <c r="G528" s="18">
        <v>28532.2</v>
      </c>
      <c r="H528" s="18">
        <v>119198.67</v>
      </c>
      <c r="I528" s="18">
        <v>2101.14</v>
      </c>
      <c r="J528" s="18"/>
      <c r="K528" s="18"/>
      <c r="L528" s="88">
        <f>SUM(F528:K528)</f>
        <v>287653.01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1201274.1399999999</v>
      </c>
      <c r="G529" s="89">
        <f t="shared" ref="G529:L529" si="37">SUM(G526:G528)</f>
        <v>159432.95000000001</v>
      </c>
      <c r="H529" s="89">
        <f t="shared" si="37"/>
        <v>614067.72</v>
      </c>
      <c r="I529" s="89">
        <f t="shared" si="37"/>
        <v>4804.25</v>
      </c>
      <c r="J529" s="89">
        <f t="shared" si="37"/>
        <v>0</v>
      </c>
      <c r="K529" s="89">
        <f t="shared" si="37"/>
        <v>0</v>
      </c>
      <c r="L529" s="89">
        <f t="shared" si="37"/>
        <v>1979579.0599999998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110775</v>
      </c>
      <c r="G531" s="18">
        <v>27656.33</v>
      </c>
      <c r="H531" s="18"/>
      <c r="I531" s="18"/>
      <c r="J531" s="18"/>
      <c r="K531" s="18"/>
      <c r="L531" s="88">
        <f>SUM(F531:K531)</f>
        <v>138431.33000000002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86679.79</v>
      </c>
      <c r="G532" s="18">
        <v>15265.33</v>
      </c>
      <c r="H532" s="18"/>
      <c r="I532" s="18"/>
      <c r="J532" s="18"/>
      <c r="K532" s="18"/>
      <c r="L532" s="88">
        <f>SUM(F532:K532)</f>
        <v>101945.12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25520.15</v>
      </c>
      <c r="G533" s="18">
        <v>12555.78</v>
      </c>
      <c r="H533" s="18"/>
      <c r="I533" s="18"/>
      <c r="J533" s="18"/>
      <c r="K533" s="18"/>
      <c r="L533" s="88">
        <f>SUM(F533:K533)</f>
        <v>38075.93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222974.93999999997</v>
      </c>
      <c r="G534" s="89">
        <f t="shared" ref="G534:L534" si="38">SUM(G531:G533)</f>
        <v>55477.440000000002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278452.38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8523.2199999999993</v>
      </c>
      <c r="I536" s="18"/>
      <c r="J536" s="18"/>
      <c r="K536" s="18"/>
      <c r="L536" s="88">
        <f>SUM(F536:K536)</f>
        <v>8523.2199999999993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5623.33</v>
      </c>
      <c r="I537" s="18"/>
      <c r="J537" s="18"/>
      <c r="K537" s="18"/>
      <c r="L537" s="88">
        <f>SUM(F537:K537)</f>
        <v>5623.33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8952.2000000000007</v>
      </c>
      <c r="I538" s="18"/>
      <c r="J538" s="18"/>
      <c r="K538" s="18"/>
      <c r="L538" s="88">
        <f>SUM(F538:K538)</f>
        <v>8952.2000000000007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23098.75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23098.75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340939.61</v>
      </c>
      <c r="I541" s="18"/>
      <c r="J541" s="18"/>
      <c r="K541" s="18"/>
      <c r="L541" s="88">
        <f>SUM(F541:K541)</f>
        <v>340939.61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164317.54999999999</v>
      </c>
      <c r="I542" s="18"/>
      <c r="J542" s="18"/>
      <c r="K542" s="18"/>
      <c r="L542" s="88">
        <f>SUM(F542:K542)</f>
        <v>164317.54999999999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389536.17</v>
      </c>
      <c r="I543" s="18"/>
      <c r="J543" s="18"/>
      <c r="K543" s="18"/>
      <c r="L543" s="88">
        <f>SUM(F543:K543)</f>
        <v>389536.17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894793.33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894793.33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8924723.0299999993</v>
      </c>
      <c r="G545" s="89">
        <f t="shared" ref="G545:L545" si="41">G524+G529+G534+G539+G544</f>
        <v>4680017.2618708499</v>
      </c>
      <c r="H545" s="89">
        <f t="shared" si="41"/>
        <v>6461916.6200000001</v>
      </c>
      <c r="I545" s="89">
        <f t="shared" si="41"/>
        <v>24547.1</v>
      </c>
      <c r="J545" s="89">
        <f t="shared" si="41"/>
        <v>0</v>
      </c>
      <c r="K545" s="89">
        <f t="shared" si="41"/>
        <v>0</v>
      </c>
      <c r="L545" s="89">
        <f t="shared" si="41"/>
        <v>20091204.011870846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8455057.1329970844</v>
      </c>
      <c r="G549" s="87">
        <f>L526</f>
        <v>1435081.5799999998</v>
      </c>
      <c r="H549" s="87">
        <f>L531</f>
        <v>138431.33000000002</v>
      </c>
      <c r="I549" s="87">
        <f>L536</f>
        <v>8523.2199999999993</v>
      </c>
      <c r="J549" s="87">
        <f>L541</f>
        <v>340939.61</v>
      </c>
      <c r="K549" s="87">
        <f>SUM(F549:J549)</f>
        <v>10378032.872997085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2526051.1012144526</v>
      </c>
      <c r="G550" s="87">
        <f>L527</f>
        <v>256844.47</v>
      </c>
      <c r="H550" s="87">
        <f>L532</f>
        <v>101945.12</v>
      </c>
      <c r="I550" s="87">
        <f>L537</f>
        <v>5623.33</v>
      </c>
      <c r="J550" s="87">
        <f>L542</f>
        <v>164317.54999999999</v>
      </c>
      <c r="K550" s="87">
        <f>SUM(F550:J550)</f>
        <v>3054781.5712144529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5934172.2576593123</v>
      </c>
      <c r="G551" s="87">
        <f>L528</f>
        <v>287653.01</v>
      </c>
      <c r="H551" s="87">
        <f>L533</f>
        <v>38075.93</v>
      </c>
      <c r="I551" s="87">
        <f>L538</f>
        <v>8952.2000000000007</v>
      </c>
      <c r="J551" s="87">
        <f>L543</f>
        <v>389536.17</v>
      </c>
      <c r="K551" s="87">
        <f>SUM(F551:J551)</f>
        <v>6658389.5676593119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16915280.49187085</v>
      </c>
      <c r="G552" s="89">
        <f t="shared" si="42"/>
        <v>1979579.0599999998</v>
      </c>
      <c r="H552" s="89">
        <f t="shared" si="42"/>
        <v>278452.38</v>
      </c>
      <c r="I552" s="89">
        <f t="shared" si="42"/>
        <v>23098.75</v>
      </c>
      <c r="J552" s="89">
        <f t="shared" si="42"/>
        <v>894793.33</v>
      </c>
      <c r="K552" s="89">
        <f t="shared" si="42"/>
        <v>20091204.01187085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58300</v>
      </c>
      <c r="G567" s="18"/>
      <c r="H567" s="18">
        <v>3686.49</v>
      </c>
      <c r="I567" s="18"/>
      <c r="J567" s="18"/>
      <c r="K567" s="18"/>
      <c r="L567" s="88">
        <f>SUM(F567:K567)</f>
        <v>61986.49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59885</v>
      </c>
      <c r="G568" s="18"/>
      <c r="H568" s="18">
        <v>2687.2</v>
      </c>
      <c r="I568" s="18"/>
      <c r="J568" s="18"/>
      <c r="K568" s="18"/>
      <c r="L568" s="88">
        <f>SUM(F568:K568)</f>
        <v>62572.2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94606</v>
      </c>
      <c r="G569" s="18"/>
      <c r="H569" s="18">
        <v>13271.97</v>
      </c>
      <c r="I569" s="18"/>
      <c r="J569" s="18"/>
      <c r="K569" s="18"/>
      <c r="L569" s="88">
        <f>SUM(F569:K569)</f>
        <v>107877.97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212791</v>
      </c>
      <c r="G570" s="193">
        <f t="shared" ref="G570:L570" si="45">SUM(G567:G569)</f>
        <v>0</v>
      </c>
      <c r="H570" s="193">
        <f t="shared" si="45"/>
        <v>19645.66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232436.66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212791</v>
      </c>
      <c r="G571" s="89">
        <f t="shared" ref="G571:L571" si="46">G560+G565+G570</f>
        <v>0</v>
      </c>
      <c r="H571" s="89">
        <f t="shared" si="46"/>
        <v>19645.66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232436.66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671442.12+529833.89+20669.82</f>
        <v>1221945.83</v>
      </c>
      <c r="G582" s="18">
        <f>306009.9+62729.76+47878.6</f>
        <v>416618.26</v>
      </c>
      <c r="H582" s="18">
        <f>714751.26+1313652.17+93155</f>
        <v>2121558.4299999997</v>
      </c>
      <c r="I582" s="87">
        <f t="shared" si="47"/>
        <v>3760122.5199999996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17083.38</v>
      </c>
      <c r="I584" s="87">
        <f t="shared" si="47"/>
        <v>17083.38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1424681.61871732-340939.81-20624.48-2518</f>
        <v>1060599.32871732</v>
      </c>
      <c r="I591" s="18">
        <f>516486.43368168-164317.56-11800.26-1988.55+0.01</f>
        <v>338380.07368168002</v>
      </c>
      <c r="J591" s="18">
        <f>1386393.84261284-389536.17-137404.7-75352.15-65413.56-0.02-0.01</f>
        <v>718687.23261284013</v>
      </c>
      <c r="K591" s="104">
        <f t="shared" ref="K591:K597" si="48">SUM(H591:J591)</f>
        <v>2117666.6350118401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340939.81</v>
      </c>
      <c r="I592" s="18">
        <v>164317.54999999999</v>
      </c>
      <c r="J592" s="18">
        <v>389536.17</v>
      </c>
      <c r="K592" s="104">
        <f t="shared" si="48"/>
        <v>894793.53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137404.70000000001</v>
      </c>
      <c r="K593" s="104">
        <f t="shared" si="48"/>
        <v>137404.70000000001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11800.26</v>
      </c>
      <c r="J594" s="18">
        <v>75352.179999999993</v>
      </c>
      <c r="K594" s="104">
        <f t="shared" si="48"/>
        <v>87152.439999999988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20624.48</v>
      </c>
      <c r="I595" s="18">
        <v>1988.55</v>
      </c>
      <c r="J595" s="18">
        <v>65413.560000000005</v>
      </c>
      <c r="K595" s="104">
        <f t="shared" si="48"/>
        <v>88026.59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2518</v>
      </c>
      <c r="I597" s="18"/>
      <c r="J597" s="18"/>
      <c r="K597" s="104">
        <f t="shared" si="48"/>
        <v>2518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1424681.61871732</v>
      </c>
      <c r="I598" s="108">
        <f>SUM(I591:I597)</f>
        <v>516486.43368168001</v>
      </c>
      <c r="J598" s="108">
        <f>SUM(J591:J597)</f>
        <v>1386393.84261284</v>
      </c>
      <c r="K598" s="108">
        <f>SUM(K591:K597)</f>
        <v>3327561.8950118399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252231.08+53807.83</f>
        <v>306038.90999999997</v>
      </c>
      <c r="I604" s="18">
        <f>70000.71+1416.72</f>
        <v>71417.430000000008</v>
      </c>
      <c r="J604" s="18">
        <f>208340.24+50854.14</f>
        <v>259194.38</v>
      </c>
      <c r="K604" s="104">
        <f>SUM(H604:J604)</f>
        <v>636650.72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306038.90999999997</v>
      </c>
      <c r="I605" s="108">
        <f>SUM(I602:I604)</f>
        <v>71417.430000000008</v>
      </c>
      <c r="J605" s="108">
        <f>SUM(J602:J604)</f>
        <v>259194.38</v>
      </c>
      <c r="K605" s="108">
        <f>SUM(K602:K604)</f>
        <v>636650.72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3234249.03</v>
      </c>
      <c r="H617" s="109">
        <f>SUM(F52)</f>
        <v>3234249.03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76054.790000000008</v>
      </c>
      <c r="H618" s="109">
        <f>SUM(G52)</f>
        <v>76054.789999999994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204630.89</v>
      </c>
      <c r="H619" s="109">
        <f>SUM(H52)</f>
        <v>204630.89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608224.73</v>
      </c>
      <c r="H621" s="109">
        <f>SUM(J52)</f>
        <v>608224.73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3117511.94</v>
      </c>
      <c r="H622" s="109">
        <f>F476</f>
        <v>3117511.9399999976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45889.03</v>
      </c>
      <c r="H623" s="109">
        <f>G476</f>
        <v>45889.029999999795</v>
      </c>
      <c r="I623" s="121" t="s">
        <v>102</v>
      </c>
      <c r="J623" s="109">
        <f t="shared" si="50"/>
        <v>2.0372681319713593E-10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608224.73</v>
      </c>
      <c r="H626" s="109">
        <f>J476</f>
        <v>608224.73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68952441.659999996</v>
      </c>
      <c r="H627" s="104">
        <f>SUM(F468)</f>
        <v>68952441.659999996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1263943.71</v>
      </c>
      <c r="H628" s="104">
        <f>SUM(G468)</f>
        <v>1263943.71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1304077.22</v>
      </c>
      <c r="H629" s="104">
        <f>SUM(H468)</f>
        <v>1304077.22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83239.14</v>
      </c>
      <c r="H631" s="104">
        <f>SUM(J468)</f>
        <v>83239.14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69171320.530000001</v>
      </c>
      <c r="H632" s="104">
        <f>SUM(F472)</f>
        <v>69171320.530000001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1304077.22</v>
      </c>
      <c r="H633" s="104">
        <f>SUM(H472)</f>
        <v>1304077.22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630041.27</v>
      </c>
      <c r="H634" s="104">
        <f>I369</f>
        <v>630041.27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1256666.8700000001</v>
      </c>
      <c r="H635" s="104">
        <f>SUM(G472)</f>
        <v>1256666.8700000001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83239.140000000014</v>
      </c>
      <c r="H637" s="164">
        <f>SUM(J468)</f>
        <v>83239.14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225000</v>
      </c>
      <c r="H638" s="164">
        <f>SUM(J472)</f>
        <v>225000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608224.73</v>
      </c>
      <c r="H639" s="104">
        <f>SUM(F461)</f>
        <v>608224.73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608224.73</v>
      </c>
      <c r="H642" s="104">
        <f>SUM(I461)</f>
        <v>608224.73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8239.14</v>
      </c>
      <c r="H644" s="104">
        <f>H408</f>
        <v>8239.14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75000</v>
      </c>
      <c r="H645" s="104">
        <f>G408</f>
        <v>75000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83239.14</v>
      </c>
      <c r="H646" s="104">
        <f>L408</f>
        <v>83239.140000000014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3327561.8950118399</v>
      </c>
      <c r="H647" s="104">
        <f>L208+L226+L244</f>
        <v>3327561.8950118385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636650.72</v>
      </c>
      <c r="H648" s="104">
        <f>(J257+J338)-(J255+J336)</f>
        <v>636650.72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1424681.6187173154</v>
      </c>
      <c r="H649" s="104">
        <f>H598</f>
        <v>1424681.61871732</v>
      </c>
      <c r="I649" s="140" t="s">
        <v>386</v>
      </c>
      <c r="J649" s="109">
        <f t="shared" si="50"/>
        <v>-4.6566128730773926E-9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516486.43368167977</v>
      </c>
      <c r="H650" s="104">
        <f>I598</f>
        <v>516486.43368168001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1386393.8426128435</v>
      </c>
      <c r="H651" s="104">
        <f>J598</f>
        <v>1386393.84261284</v>
      </c>
      <c r="I651" s="140" t="s">
        <v>388</v>
      </c>
      <c r="J651" s="109">
        <f t="shared" si="50"/>
        <v>3.4924596548080444E-9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48054.39</v>
      </c>
      <c r="H652" s="104">
        <f>K263+K345</f>
        <v>48054.39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75000</v>
      </c>
      <c r="H655" s="104">
        <f>K266+K347</f>
        <v>75000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33229922.010000002</v>
      </c>
      <c r="G660" s="19">
        <f>(L229+L309+L359)</f>
        <v>10753115.18</v>
      </c>
      <c r="H660" s="19">
        <f>(L247+L328+L360)</f>
        <v>23340671.849999998</v>
      </c>
      <c r="I660" s="19">
        <f>SUM(F660:H660)</f>
        <v>67323709.039999992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442965.76914933766</v>
      </c>
      <c r="G661" s="19">
        <f>(L359/IF(SUM(L358:L360)=0,1,SUM(L358:L360))*(SUM(G97:G110)))</f>
        <v>139234.72563287333</v>
      </c>
      <c r="H661" s="19">
        <f>(L360/IF(SUM(L358:L360)=0,1,SUM(L358:L360))*(SUM(G97:G110)))</f>
        <v>331450.21521778888</v>
      </c>
      <c r="I661" s="19">
        <f>SUM(F661:H661)</f>
        <v>913650.71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1424681.6187173154</v>
      </c>
      <c r="G662" s="19">
        <f>(L226+L306)-(J226+J306)</f>
        <v>516486.43368167977</v>
      </c>
      <c r="H662" s="19">
        <f>(L244+L325)-(J244+J325)</f>
        <v>1386393.8426128435</v>
      </c>
      <c r="I662" s="19">
        <f>SUM(F662:H662)</f>
        <v>3327561.8950118385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1527984.74</v>
      </c>
      <c r="G663" s="199">
        <f>SUM(G575:G587)+SUM(I602:I604)+L612</f>
        <v>488035.69</v>
      </c>
      <c r="H663" s="199">
        <f>SUM(H575:H587)+SUM(J602:J604)+L613</f>
        <v>2397836.1899999995</v>
      </c>
      <c r="I663" s="19">
        <f>SUM(F663:H663)</f>
        <v>4413856.6199999992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29834289.88213335</v>
      </c>
      <c r="G664" s="19">
        <f>G660-SUM(G661:G663)</f>
        <v>9609358.330685446</v>
      </c>
      <c r="H664" s="19">
        <f>H660-SUM(H661:H663)</f>
        <v>19224991.602169365</v>
      </c>
      <c r="I664" s="19">
        <f>I660-SUM(I661:I663)</f>
        <v>58668639.814988151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1783.93</v>
      </c>
      <c r="G665" s="248">
        <v>593.62</v>
      </c>
      <c r="H665" s="248">
        <v>1193.04</v>
      </c>
      <c r="I665" s="19">
        <f>SUM(F665:H665)</f>
        <v>3570.59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16723.91</v>
      </c>
      <c r="G667" s="19">
        <f>ROUND(G664/G665,2)</f>
        <v>16187.73</v>
      </c>
      <c r="H667" s="19">
        <f>ROUND(H664/H665,2)</f>
        <v>16114.29</v>
      </c>
      <c r="I667" s="19">
        <f>ROUND(I664/I665,2)</f>
        <v>16431.080000000002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-11.38</v>
      </c>
      <c r="I670" s="19">
        <f>SUM(F670:H670)</f>
        <v>-11.38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16723.91</v>
      </c>
      <c r="G672" s="19">
        <f>ROUND((G664+G669)/(G665+G670),2)</f>
        <v>16187.73</v>
      </c>
      <c r="H672" s="19">
        <f>ROUND((H664+H669)/(H665+H670),2)</f>
        <v>16269.48</v>
      </c>
      <c r="I672" s="19">
        <f>ROUND((I664+I669)/(I665+I670),2)</f>
        <v>16483.61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J38" sqref="J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MERRIMACK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15500589.359999999</v>
      </c>
      <c r="C9" s="229">
        <f>'DOE25'!G197+'DOE25'!G215+'DOE25'!G233+'DOE25'!G276+'DOE25'!G295+'DOE25'!G314</f>
        <v>9144708.0811074991</v>
      </c>
    </row>
    <row r="10" spans="1:3" x14ac:dyDescent="0.2">
      <c r="A10" t="s">
        <v>773</v>
      </c>
      <c r="B10" s="240">
        <v>14494194.6</v>
      </c>
      <c r="C10" s="240">
        <v>8293471.5499999998</v>
      </c>
    </row>
    <row r="11" spans="1:3" x14ac:dyDescent="0.2">
      <c r="A11" t="s">
        <v>774</v>
      </c>
      <c r="B11" s="240">
        <f>15500589.36-14494194.6</f>
        <v>1006394.7599999998</v>
      </c>
      <c r="C11" s="240">
        <v>851236.53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15500589.359999999</v>
      </c>
      <c r="C13" s="231">
        <f>SUM(C10:C12)</f>
        <v>9144708.0800000001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7616637.4500000002</v>
      </c>
      <c r="C18" s="229">
        <f>'DOE25'!G198+'DOE25'!G216+'DOE25'!G234+'DOE25'!G277+'DOE25'!G296+'DOE25'!G315</f>
        <v>4465106.8718708493</v>
      </c>
    </row>
    <row r="19" spans="1:3" x14ac:dyDescent="0.2">
      <c r="A19" t="s">
        <v>773</v>
      </c>
      <c r="B19" s="240">
        <f>3099925.49+254289.5</f>
        <v>3354214.99</v>
      </c>
      <c r="C19" s="240">
        <v>2223562.56</v>
      </c>
    </row>
    <row r="20" spans="1:3" x14ac:dyDescent="0.2">
      <c r="A20" t="s">
        <v>774</v>
      </c>
      <c r="B20" s="240">
        <v>4262422.45</v>
      </c>
      <c r="C20" s="240">
        <f>4465106.87-2223562.56</f>
        <v>2241544.31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7616637.4400000004</v>
      </c>
      <c r="C22" s="231">
        <f>SUM(C19:C21)</f>
        <v>4465106.87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416843.08</v>
      </c>
      <c r="C36" s="235">
        <f>'DOE25'!G200+'DOE25'!G218+'DOE25'!G236+'DOE25'!G279+'DOE25'!G298+'DOE25'!G317</f>
        <v>243973.62691715761</v>
      </c>
    </row>
    <row r="37" spans="1:3" x14ac:dyDescent="0.2">
      <c r="A37" t="s">
        <v>773</v>
      </c>
      <c r="B37" s="240">
        <v>416843.08</v>
      </c>
      <c r="C37" s="240">
        <v>243973.63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416843.08</v>
      </c>
      <c r="C40" s="231">
        <f>SUM(C37:C39)</f>
        <v>243973.63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MERRIMACK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43395901.649895504</v>
      </c>
      <c r="D5" s="20">
        <f>SUM('DOE25'!L197:L200)+SUM('DOE25'!L215:L218)+SUM('DOE25'!L233:L236)-F5-G5</f>
        <v>43012300.259895504</v>
      </c>
      <c r="E5" s="243"/>
      <c r="F5" s="255">
        <f>SUM('DOE25'!J197:J200)+SUM('DOE25'!J215:J218)+SUM('DOE25'!J233:J236)</f>
        <v>365954.39</v>
      </c>
      <c r="G5" s="53">
        <f>SUM('DOE25'!K197:K200)+SUM('DOE25'!K215:K218)+SUM('DOE25'!K233:K236)</f>
        <v>17647</v>
      </c>
      <c r="H5" s="259"/>
    </row>
    <row r="6" spans="1:9" x14ac:dyDescent="0.2">
      <c r="A6" s="32">
        <v>2100</v>
      </c>
      <c r="B6" t="s">
        <v>795</v>
      </c>
      <c r="C6" s="245">
        <f t="shared" si="0"/>
        <v>5288458.6416707477</v>
      </c>
      <c r="D6" s="20">
        <f>'DOE25'!L202+'DOE25'!L220+'DOE25'!L238-F6-G6</f>
        <v>5288458.6416707477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1571584.2739541277</v>
      </c>
      <c r="D7" s="20">
        <f>'DOE25'!L203+'DOE25'!L221+'DOE25'!L239-F7-G7</f>
        <v>1544671.1039541275</v>
      </c>
      <c r="E7" s="243"/>
      <c r="F7" s="255">
        <f>'DOE25'!J203+'DOE25'!J221+'DOE25'!J239</f>
        <v>24752.829999999998</v>
      </c>
      <c r="G7" s="53">
        <f>'DOE25'!K203+'DOE25'!K221+'DOE25'!K239</f>
        <v>2160.34</v>
      </c>
      <c r="H7" s="259"/>
    </row>
    <row r="8" spans="1:9" x14ac:dyDescent="0.2">
      <c r="A8" s="32">
        <v>2300</v>
      </c>
      <c r="B8" t="s">
        <v>796</v>
      </c>
      <c r="C8" s="245">
        <f t="shared" si="0"/>
        <v>1772954.7449902322</v>
      </c>
      <c r="D8" s="243"/>
      <c r="E8" s="20">
        <f>'DOE25'!L204+'DOE25'!L222+'DOE25'!L240-F8-G8-D9-D11</f>
        <v>1620458.4649902321</v>
      </c>
      <c r="F8" s="255">
        <f>'DOE25'!J204+'DOE25'!J222+'DOE25'!J240</f>
        <v>129132.48000000001</v>
      </c>
      <c r="G8" s="53">
        <f>'DOE25'!K204+'DOE25'!K222+'DOE25'!K240</f>
        <v>23363.8</v>
      </c>
      <c r="H8" s="259"/>
    </row>
    <row r="9" spans="1:9" x14ac:dyDescent="0.2">
      <c r="A9" s="32">
        <v>2310</v>
      </c>
      <c r="B9" t="s">
        <v>812</v>
      </c>
      <c r="C9" s="245">
        <f t="shared" si="0"/>
        <v>51669.78</v>
      </c>
      <c r="D9" s="244">
        <v>51669.78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492303.37</v>
      </c>
      <c r="D11" s="244">
        <v>492303.37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3266754.5288853231</v>
      </c>
      <c r="D12" s="20">
        <f>'DOE25'!L205+'DOE25'!L223+'DOE25'!L241-F12-G12</f>
        <v>3216844.138885323</v>
      </c>
      <c r="E12" s="243"/>
      <c r="F12" s="255">
        <f>'DOE25'!J205+'DOE25'!J223+'DOE25'!J241</f>
        <v>0</v>
      </c>
      <c r="G12" s="53">
        <f>'DOE25'!K205+'DOE25'!K223+'DOE25'!K241</f>
        <v>49910.39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690919.37470050808</v>
      </c>
      <c r="D13" s="243"/>
      <c r="E13" s="20">
        <f>'DOE25'!L206+'DOE25'!L224+'DOE25'!L242-F13-G13</f>
        <v>684276.95470050804</v>
      </c>
      <c r="F13" s="255">
        <f>'DOE25'!J206+'DOE25'!J224+'DOE25'!J242</f>
        <v>0</v>
      </c>
      <c r="G13" s="53">
        <f>'DOE25'!K206+'DOE25'!K224+'DOE25'!K242</f>
        <v>6642.42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4735720.3716144301</v>
      </c>
      <c r="D14" s="20">
        <f>'DOE25'!L207+'DOE25'!L225+'DOE25'!L243-F14-G14</f>
        <v>4724988.04161443</v>
      </c>
      <c r="E14" s="243"/>
      <c r="F14" s="255">
        <f>'DOE25'!J207+'DOE25'!J225+'DOE25'!J243</f>
        <v>10732.33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3327561.8950118385</v>
      </c>
      <c r="D15" s="20">
        <f>'DOE25'!L208+'DOE25'!L226+'DOE25'!L244-F15-G15</f>
        <v>3327561.8950118385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169136.31927728525</v>
      </c>
      <c r="D16" s="243"/>
      <c r="E16" s="20">
        <f>'DOE25'!L209+'DOE25'!L227+'DOE25'!L245-F16-G16</f>
        <v>169136.31927728525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23998.080000000002</v>
      </c>
      <c r="D17" s="20">
        <f>'DOE25'!L251-F17-G17</f>
        <v>23998.080000000002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2925713.11</v>
      </c>
      <c r="D22" s="243"/>
      <c r="E22" s="243"/>
      <c r="F22" s="255">
        <f>'DOE25'!L255+'DOE25'!L336</f>
        <v>2925713.11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1335590</v>
      </c>
      <c r="D25" s="243"/>
      <c r="E25" s="243"/>
      <c r="F25" s="258"/>
      <c r="G25" s="256"/>
      <c r="H25" s="257">
        <f>'DOE25'!L260+'DOE25'!L261+'DOE25'!L341+'DOE25'!L342</f>
        <v>1335590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695244.8600000001</v>
      </c>
      <c r="D29" s="20">
        <f>'DOE25'!L358+'DOE25'!L359+'DOE25'!L360-'DOE25'!I367-F29-G29</f>
        <v>692898.40000000014</v>
      </c>
      <c r="E29" s="243"/>
      <c r="F29" s="255">
        <f>'DOE25'!J358+'DOE25'!J359+'DOE25'!J360</f>
        <v>2096.46</v>
      </c>
      <c r="G29" s="53">
        <f>'DOE25'!K358+'DOE25'!K359+'DOE25'!K360</f>
        <v>250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1304077.22</v>
      </c>
      <c r="D31" s="20">
        <f>'DOE25'!L290+'DOE25'!L309+'DOE25'!L328+'DOE25'!L333+'DOE25'!L334+'DOE25'!L335-F31-G31</f>
        <v>1197998.53</v>
      </c>
      <c r="E31" s="243"/>
      <c r="F31" s="255">
        <f>'DOE25'!J290+'DOE25'!J309+'DOE25'!J328+'DOE25'!J333+'DOE25'!J334+'DOE25'!J335</f>
        <v>106078.69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63573692.241031967</v>
      </c>
      <c r="E33" s="246">
        <f>SUM(E5:E31)</f>
        <v>2473871.7389680254</v>
      </c>
      <c r="F33" s="246">
        <f>SUM(F5:F31)</f>
        <v>3564460.2899999996</v>
      </c>
      <c r="G33" s="246">
        <f>SUM(G5:G31)</f>
        <v>99973.95</v>
      </c>
      <c r="H33" s="246">
        <f>SUM(H5:H31)</f>
        <v>1335590</v>
      </c>
    </row>
    <row r="35" spans="2:8" ht="12" thickBot="1" x14ac:dyDescent="0.25">
      <c r="B35" s="253" t="s">
        <v>841</v>
      </c>
      <c r="D35" s="254">
        <f>E33</f>
        <v>2473871.7389680254</v>
      </c>
      <c r="E35" s="249"/>
    </row>
    <row r="36" spans="2:8" ht="12" thickTop="1" x14ac:dyDescent="0.2">
      <c r="B36" t="s">
        <v>809</v>
      </c>
      <c r="D36" s="20">
        <f>D33</f>
        <v>63573692.241031967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57" activePane="bottomLeft" state="frozen"/>
      <selection activeCell="F46" sqref="F46"/>
      <selection pane="bottomLeft" activeCell="C69" sqref="C6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2932136.85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16349.08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608224.73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4534.1499999999996</v>
      </c>
      <c r="D11" s="95">
        <f>'DOE25'!G12</f>
        <v>11709.51</v>
      </c>
      <c r="E11" s="95">
        <f>'DOE25'!H12</f>
        <v>204630.89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193170.38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88058.57</v>
      </c>
      <c r="D13" s="95">
        <f>'DOE25'!G14</f>
        <v>25261.52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39083.760000000002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3234249.03</v>
      </c>
      <c r="D18" s="41">
        <f>SUM(D8:D17)</f>
        <v>76054.790000000008</v>
      </c>
      <c r="E18" s="41">
        <f>SUM(E8:E17)</f>
        <v>204630.89</v>
      </c>
      <c r="F18" s="41">
        <f>SUM(F8:F17)</f>
        <v>0</v>
      </c>
      <c r="G18" s="41">
        <f>SUM(G8:G17)</f>
        <v>608224.73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204630.89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116737.09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30165.759999999998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116737.09</v>
      </c>
      <c r="D31" s="41">
        <f>SUM(D21:D30)</f>
        <v>30165.759999999998</v>
      </c>
      <c r="E31" s="41">
        <f>SUM(E21:E30)</f>
        <v>204630.89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39083.760000000002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21839.07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16271.65</v>
      </c>
      <c r="D47" s="95">
        <f>'DOE25'!G48</f>
        <v>6805.27</v>
      </c>
      <c r="E47" s="95">
        <f>'DOE25'!H48</f>
        <v>0</v>
      </c>
      <c r="F47" s="95">
        <f>'DOE25'!I48</f>
        <v>0</v>
      </c>
      <c r="G47" s="95">
        <f>'DOE25'!J48</f>
        <v>608224.73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9678.43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2919722.79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3117511.94</v>
      </c>
      <c r="D50" s="41">
        <f>SUM(D34:D49)</f>
        <v>45889.03</v>
      </c>
      <c r="E50" s="41">
        <f>SUM(E34:E49)</f>
        <v>0</v>
      </c>
      <c r="F50" s="41">
        <f>SUM(F34:F49)</f>
        <v>0</v>
      </c>
      <c r="G50" s="41">
        <f>SUM(G34:G49)</f>
        <v>608224.73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3234249.03</v>
      </c>
      <c r="D51" s="41">
        <f>D50+D31</f>
        <v>76054.789999999994</v>
      </c>
      <c r="E51" s="41">
        <f>E50+E31</f>
        <v>204630.89</v>
      </c>
      <c r="F51" s="41">
        <f>F50+F31</f>
        <v>0</v>
      </c>
      <c r="G51" s="41">
        <f>G50+G31</f>
        <v>608224.73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51085892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202984.09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35937.58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8239.14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913650.71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109330.76999999999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348252.43999999994</v>
      </c>
      <c r="D62" s="130">
        <f>SUM(D57:D61)</f>
        <v>913650.71</v>
      </c>
      <c r="E62" s="130">
        <f>SUM(E57:E61)</f>
        <v>0</v>
      </c>
      <c r="F62" s="130">
        <f>SUM(F57:F61)</f>
        <v>0</v>
      </c>
      <c r="G62" s="130">
        <f>SUM(G57:G61)</f>
        <v>8239.14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51434144.439999998</v>
      </c>
      <c r="D63" s="22">
        <f>D56+D62</f>
        <v>913650.71</v>
      </c>
      <c r="E63" s="22">
        <f>E56+E62</f>
        <v>0</v>
      </c>
      <c r="F63" s="22">
        <f>F56+F62</f>
        <v>0</v>
      </c>
      <c r="G63" s="22">
        <f>G56+G62</f>
        <v>8239.14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8130761.75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7008220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62780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15201761.75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432651.3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920652.4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10528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180000</v>
      </c>
      <c r="D77" s="95">
        <f>SUM('DOE25'!G131:G135)</f>
        <v>16568.169999999998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1543831.7</v>
      </c>
      <c r="D78" s="130">
        <f>SUM(D72:D77)</f>
        <v>16568.169999999998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16745593.449999999</v>
      </c>
      <c r="D81" s="130">
        <f>SUM(D79:D80)+D78+D70</f>
        <v>16568.169999999998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124557.29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547703.77</v>
      </c>
      <c r="D88" s="95">
        <f>SUM('DOE25'!G153:G161)</f>
        <v>285670.44</v>
      </c>
      <c r="E88" s="95">
        <f>SUM('DOE25'!H153:H161)</f>
        <v>1179519.93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547703.77</v>
      </c>
      <c r="D91" s="131">
        <f>SUM(D85:D90)</f>
        <v>285670.44</v>
      </c>
      <c r="E91" s="131">
        <f>SUM(E85:E90)</f>
        <v>1304077.22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48054.39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225000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225000</v>
      </c>
      <c r="D103" s="86">
        <f>SUM(D93:D102)</f>
        <v>48054.39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759</v>
      </c>
      <c r="C104" s="86">
        <f>C63+C81+C91+C103</f>
        <v>68952441.659999996</v>
      </c>
      <c r="D104" s="86">
        <f>D63+D81+D91+D103</f>
        <v>1263943.71</v>
      </c>
      <c r="E104" s="86">
        <f>E63+E81+E91+E103</f>
        <v>1304077.22</v>
      </c>
      <c r="F104" s="86">
        <f>F63+F81+F91+F103</f>
        <v>0</v>
      </c>
      <c r="G104" s="86">
        <f>G63+G81+G103</f>
        <v>83239.14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25596375.231107496</v>
      </c>
      <c r="D109" s="24" t="s">
        <v>286</v>
      </c>
      <c r="E109" s="95">
        <f>('DOE25'!L276)+('DOE25'!L295)+('DOE25'!L314)</f>
        <v>231709.69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16915280.49187085</v>
      </c>
      <c r="D110" s="24" t="s">
        <v>286</v>
      </c>
      <c r="E110" s="95">
        <f>('DOE25'!L277)+('DOE25'!L296)+('DOE25'!L315)</f>
        <v>116163.5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17083.38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867162.54691715771</v>
      </c>
      <c r="D112" s="24" t="s">
        <v>286</v>
      </c>
      <c r="E112" s="95">
        <f>+('DOE25'!L279)+('DOE25'!L298)+('DOE25'!L317)</f>
        <v>23043.51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23998.080000000002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43419899.729895502</v>
      </c>
      <c r="D115" s="86">
        <f>SUM(D109:D114)</f>
        <v>0</v>
      </c>
      <c r="E115" s="86">
        <f>SUM(E109:E114)</f>
        <v>370916.7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5288458.6416707477</v>
      </c>
      <c r="D118" s="24" t="s">
        <v>286</v>
      </c>
      <c r="E118" s="95">
        <f>+('DOE25'!L281)+('DOE25'!L300)+('DOE25'!L319)</f>
        <v>599927.16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1571584.2739541277</v>
      </c>
      <c r="D119" s="24" t="s">
        <v>286</v>
      </c>
      <c r="E119" s="95">
        <f>+('DOE25'!L282)+('DOE25'!L301)+('DOE25'!L320)</f>
        <v>208567.47000000003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2316927.8949902318</v>
      </c>
      <c r="D120" s="24" t="s">
        <v>286</v>
      </c>
      <c r="E120" s="95">
        <f>+('DOE25'!L283)+('DOE25'!L302)+('DOE25'!L321)</f>
        <v>108.6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3266754.5288853231</v>
      </c>
      <c r="D121" s="24" t="s">
        <v>286</v>
      </c>
      <c r="E121" s="95">
        <f>+('DOE25'!L284)+('DOE25'!L303)+('DOE25'!L322)</f>
        <v>124557.29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690919.37470050808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4735720.3716144301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3327561.8950118385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169136.31927728525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1256666.8700000001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21367063.300104495</v>
      </c>
      <c r="D128" s="86">
        <f>SUM(D118:D127)</f>
        <v>1256666.8700000001</v>
      </c>
      <c r="E128" s="86">
        <f>SUM(E118:E127)</f>
        <v>933160.52000000014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2925713.11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1070000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265590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225000</v>
      </c>
    </row>
    <row r="135" spans="1:7" x14ac:dyDescent="0.2">
      <c r="A135" t="s">
        <v>233</v>
      </c>
      <c r="B135" s="32" t="s">
        <v>234</v>
      </c>
      <c r="C135" s="95">
        <f>'DOE25'!L263</f>
        <v>48054.39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83239.140000000014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-8239.140000000014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4384357.4999999991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225000</v>
      </c>
    </row>
    <row r="145" spans="1:9" ht="12.75" thickTop="1" thickBot="1" x14ac:dyDescent="0.25">
      <c r="A145" s="33" t="s">
        <v>244</v>
      </c>
      <c r="C145" s="86">
        <f>(C115+C128+C144)</f>
        <v>69171320.530000001</v>
      </c>
      <c r="D145" s="86">
        <f>(D115+D128+D144)</f>
        <v>1256666.8700000001</v>
      </c>
      <c r="E145" s="86">
        <f>(E115+E128+E144)</f>
        <v>1304077.2200000002</v>
      </c>
      <c r="F145" s="86">
        <f>(F115+F128+F144)</f>
        <v>0</v>
      </c>
      <c r="G145" s="86">
        <f>(G115+G128+G144)</f>
        <v>225000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12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2/01</v>
      </c>
      <c r="C152" s="152" t="str">
        <f>'DOE25'!G491</f>
        <v>2/04</v>
      </c>
      <c r="D152" s="152" t="str">
        <f>'DOE25'!H491</f>
        <v>07/07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8/20</v>
      </c>
      <c r="C153" s="152" t="str">
        <f>'DOE25'!G492</f>
        <v>8/23</v>
      </c>
      <c r="D153" s="152" t="str">
        <f>'DOE25'!H492</f>
        <v>07/20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5915851</v>
      </c>
      <c r="C154" s="137">
        <f>'DOE25'!G493</f>
        <v>15525000</v>
      </c>
      <c r="D154" s="137">
        <f>'DOE25'!H493</f>
        <v>3675816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5.31</v>
      </c>
      <c r="C155" s="137">
        <f>'DOE25'!G494</f>
        <v>3.52</v>
      </c>
      <c r="D155" s="137">
        <f>'DOE25'!H494</f>
        <v>4.4800000000000004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945000</v>
      </c>
      <c r="C156" s="137">
        <f>'DOE25'!G495</f>
        <v>4650000</v>
      </c>
      <c r="D156" s="137">
        <f>'DOE25'!H495</f>
        <v>1222854</v>
      </c>
      <c r="E156" s="137">
        <f>'DOE25'!I495</f>
        <v>0</v>
      </c>
      <c r="F156" s="137">
        <f>'DOE25'!J495</f>
        <v>0</v>
      </c>
      <c r="G156" s="138">
        <f>SUM(B156:F156)</f>
        <v>6817854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295000</v>
      </c>
      <c r="C158" s="137">
        <f>'DOE25'!G497</f>
        <v>775000</v>
      </c>
      <c r="D158" s="137">
        <f>'DOE25'!H497</f>
        <v>245382</v>
      </c>
      <c r="E158" s="137">
        <f>'DOE25'!I497</f>
        <v>0</v>
      </c>
      <c r="F158" s="137">
        <f>'DOE25'!J497</f>
        <v>0</v>
      </c>
      <c r="G158" s="138">
        <f t="shared" si="0"/>
        <v>1315382</v>
      </c>
    </row>
    <row r="159" spans="1:9" x14ac:dyDescent="0.2">
      <c r="A159" s="22" t="s">
        <v>35</v>
      </c>
      <c r="B159" s="137">
        <f>'DOE25'!F498</f>
        <v>945000</v>
      </c>
      <c r="C159" s="137">
        <f>'DOE25'!G498</f>
        <v>4650000</v>
      </c>
      <c r="D159" s="137">
        <f>'DOE25'!H498</f>
        <v>1222854</v>
      </c>
      <c r="E159" s="137">
        <f>'DOE25'!I498</f>
        <v>0</v>
      </c>
      <c r="F159" s="137">
        <f>'DOE25'!J498</f>
        <v>0</v>
      </c>
      <c r="G159" s="138">
        <f t="shared" si="0"/>
        <v>6817854</v>
      </c>
    </row>
    <row r="160" spans="1:9" x14ac:dyDescent="0.2">
      <c r="A160" s="22" t="s">
        <v>36</v>
      </c>
      <c r="B160" s="137">
        <f>'DOE25'!F499</f>
        <v>59650</v>
      </c>
      <c r="C160" s="137">
        <f>'DOE25'!G499</f>
        <v>833125</v>
      </c>
      <c r="D160" s="137">
        <f>'DOE25'!H499</f>
        <v>96287</v>
      </c>
      <c r="E160" s="137">
        <f>'DOE25'!I499</f>
        <v>0</v>
      </c>
      <c r="F160" s="137">
        <f>'DOE25'!J499</f>
        <v>0</v>
      </c>
      <c r="G160" s="138">
        <f t="shared" si="0"/>
        <v>989062</v>
      </c>
    </row>
    <row r="161" spans="1:7" x14ac:dyDescent="0.2">
      <c r="A161" s="22" t="s">
        <v>37</v>
      </c>
      <c r="B161" s="137">
        <f>'DOE25'!F500</f>
        <v>1004650</v>
      </c>
      <c r="C161" s="137">
        <f>'DOE25'!G500</f>
        <v>5483125</v>
      </c>
      <c r="D161" s="137">
        <f>'DOE25'!H500</f>
        <v>1319141</v>
      </c>
      <c r="E161" s="137">
        <f>'DOE25'!I500</f>
        <v>0</v>
      </c>
      <c r="F161" s="137">
        <f>'DOE25'!J500</f>
        <v>0</v>
      </c>
      <c r="G161" s="138">
        <f t="shared" si="0"/>
        <v>7806916</v>
      </c>
    </row>
    <row r="162" spans="1:7" x14ac:dyDescent="0.2">
      <c r="A162" s="22" t="s">
        <v>38</v>
      </c>
      <c r="B162" s="137">
        <f>'DOE25'!F501</f>
        <v>295000</v>
      </c>
      <c r="C162" s="137">
        <f>'DOE25'!G501</f>
        <v>775000</v>
      </c>
      <c r="D162" s="137">
        <f>'DOE25'!H501</f>
        <v>245382</v>
      </c>
      <c r="E162" s="137">
        <f>'DOE25'!I501</f>
        <v>0</v>
      </c>
      <c r="F162" s="137">
        <f>'DOE25'!J501</f>
        <v>0</v>
      </c>
      <c r="G162" s="138">
        <f t="shared" si="0"/>
        <v>1315382</v>
      </c>
    </row>
    <row r="163" spans="1:7" x14ac:dyDescent="0.2">
      <c r="A163" s="22" t="s">
        <v>39</v>
      </c>
      <c r="B163" s="137">
        <f>'DOE25'!F502</f>
        <v>40563</v>
      </c>
      <c r="C163" s="137">
        <f>'DOE25'!G502</f>
        <v>190844</v>
      </c>
      <c r="D163" s="137">
        <f>'DOE25'!H502</f>
        <v>67535</v>
      </c>
      <c r="E163" s="137">
        <f>'DOE25'!I502</f>
        <v>0</v>
      </c>
      <c r="F163" s="137">
        <f>'DOE25'!J502</f>
        <v>0</v>
      </c>
      <c r="G163" s="138">
        <f t="shared" si="0"/>
        <v>298942</v>
      </c>
    </row>
    <row r="164" spans="1:7" x14ac:dyDescent="0.2">
      <c r="A164" s="22" t="s">
        <v>246</v>
      </c>
      <c r="B164" s="137">
        <f>'DOE25'!F503</f>
        <v>335563</v>
      </c>
      <c r="C164" s="137">
        <f>'DOE25'!G503</f>
        <v>965844</v>
      </c>
      <c r="D164" s="137">
        <f>'DOE25'!H503</f>
        <v>312917</v>
      </c>
      <c r="E164" s="137">
        <f>'DOE25'!I503</f>
        <v>0</v>
      </c>
      <c r="F164" s="137">
        <f>'DOE25'!J503</f>
        <v>0</v>
      </c>
      <c r="G164" s="138">
        <f t="shared" si="0"/>
        <v>1614324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MERRIMACK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16724</v>
      </c>
    </row>
    <row r="5" spans="1:4" x14ac:dyDescent="0.2">
      <c r="B5" t="s">
        <v>698</v>
      </c>
      <c r="C5" s="179">
        <f>IF('DOE25'!G665+'DOE25'!G670=0,0,ROUND('DOE25'!G672,0))</f>
        <v>16188</v>
      </c>
    </row>
    <row r="6" spans="1:4" x14ac:dyDescent="0.2">
      <c r="B6" t="s">
        <v>62</v>
      </c>
      <c r="C6" s="179">
        <f>IF('DOE25'!H665+'DOE25'!H670=0,0,ROUND('DOE25'!H672,0))</f>
        <v>16269</v>
      </c>
    </row>
    <row r="7" spans="1:4" x14ac:dyDescent="0.2">
      <c r="B7" t="s">
        <v>699</v>
      </c>
      <c r="C7" s="179">
        <f>IF('DOE25'!I665+'DOE25'!I670=0,0,ROUND('DOE25'!I672,0))</f>
        <v>16484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25828085</v>
      </c>
      <c r="D10" s="182">
        <f>ROUND((C10/$C$28)*100,1)</f>
        <v>38.700000000000003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17031444</v>
      </c>
      <c r="D11" s="182">
        <f>ROUND((C11/$C$28)*100,1)</f>
        <v>25.5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17083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890206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5888386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1780152</v>
      </c>
      <c r="D16" s="182">
        <f t="shared" si="0"/>
        <v>2.7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2486173</v>
      </c>
      <c r="D17" s="182">
        <f t="shared" si="0"/>
        <v>3.7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3391312</v>
      </c>
      <c r="D18" s="182">
        <f t="shared" si="0"/>
        <v>5.0999999999999996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690919</v>
      </c>
      <c r="D19" s="182">
        <f t="shared" si="0"/>
        <v>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4735720</v>
      </c>
      <c r="D20" s="182">
        <f t="shared" si="0"/>
        <v>7.1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3327562</v>
      </c>
      <c r="D21" s="182">
        <f t="shared" si="0"/>
        <v>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23998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265590</v>
      </c>
      <c r="D25" s="182">
        <f t="shared" si="0"/>
        <v>0.4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343016.29000000004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66699646.289999999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2925713</v>
      </c>
    </row>
    <row r="30" spans="1:4" x14ac:dyDescent="0.2">
      <c r="B30" s="187" t="s">
        <v>723</v>
      </c>
      <c r="C30" s="180">
        <f>SUM(C28:C29)</f>
        <v>69625359.289999992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1070000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51085892</v>
      </c>
      <c r="D35" s="182">
        <f t="shared" ref="D35:D40" si="1">ROUND((C35/$C$41)*100,1)</f>
        <v>72.599999999999994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356491.58000000566</v>
      </c>
      <c r="D36" s="182">
        <f t="shared" si="1"/>
        <v>0.5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15138982</v>
      </c>
      <c r="D37" s="182">
        <f t="shared" si="1"/>
        <v>21.5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1623180</v>
      </c>
      <c r="D38" s="182">
        <f t="shared" si="1"/>
        <v>2.2999999999999998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2137451</v>
      </c>
      <c r="D39" s="182">
        <f t="shared" si="1"/>
        <v>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70341996.580000013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MERRIMACK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2018-10-09T16:15:04Z</cp:lastPrinted>
  <dcterms:created xsi:type="dcterms:W3CDTF">1997-12-04T19:04:30Z</dcterms:created>
  <dcterms:modified xsi:type="dcterms:W3CDTF">2018-12-03T19:44:47Z</dcterms:modified>
</cp:coreProperties>
</file>