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14370" windowHeight="514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55" i="1" l="1"/>
  <c r="F12" i="1"/>
  <c r="G22" i="1"/>
  <c r="C10" i="12"/>
  <c r="C11" i="12" s="1"/>
  <c r="C13" i="12" s="1"/>
  <c r="A13" i="12" s="1"/>
  <c r="F110" i="1"/>
  <c r="G533" i="1"/>
  <c r="G532" i="1"/>
  <c r="G531" i="1"/>
  <c r="F533" i="1"/>
  <c r="F532" i="1"/>
  <c r="F531" i="1"/>
  <c r="G528" i="1"/>
  <c r="G527" i="1"/>
  <c r="G526" i="1"/>
  <c r="F528" i="1"/>
  <c r="F527" i="1"/>
  <c r="F526" i="1"/>
  <c r="J523" i="1"/>
  <c r="J522" i="1"/>
  <c r="J521" i="1"/>
  <c r="I523" i="1"/>
  <c r="I522" i="1"/>
  <c r="I521" i="1"/>
  <c r="H523" i="1"/>
  <c r="H522" i="1"/>
  <c r="H521" i="1"/>
  <c r="G523" i="1"/>
  <c r="G522" i="1"/>
  <c r="G521" i="1"/>
  <c r="F523" i="1"/>
  <c r="F522" i="1"/>
  <c r="F521" i="1"/>
  <c r="F564" i="1"/>
  <c r="F563" i="1"/>
  <c r="F562" i="1"/>
  <c r="H538" i="1"/>
  <c r="H536" i="1"/>
  <c r="H533" i="1"/>
  <c r="H532" i="1"/>
  <c r="H531" i="1"/>
  <c r="J597" i="1"/>
  <c r="H597" i="1"/>
  <c r="J604" i="1"/>
  <c r="I604" i="1"/>
  <c r="H604" i="1"/>
  <c r="J591" i="1"/>
  <c r="I591" i="1"/>
  <c r="H591" i="1"/>
  <c r="I597" i="1"/>
  <c r="J595" i="1"/>
  <c r="I595" i="1"/>
  <c r="H595" i="1"/>
  <c r="J593" i="1"/>
  <c r="H367" i="1"/>
  <c r="G368" i="1"/>
  <c r="F368" i="1"/>
  <c r="I360" i="1"/>
  <c r="F360" i="1"/>
  <c r="F359" i="1"/>
  <c r="F358" i="1"/>
  <c r="F473" i="1"/>
  <c r="F29" i="1"/>
  <c r="F14" i="1"/>
  <c r="F10" i="1"/>
  <c r="H12" i="1"/>
  <c r="H22" i="1"/>
  <c r="H30" i="1"/>
  <c r="H14" i="1"/>
  <c r="H13" i="1"/>
  <c r="H241" i="1"/>
  <c r="H223" i="1"/>
  <c r="H205" i="1"/>
  <c r="F197" i="1"/>
  <c r="I202" i="1"/>
  <c r="I243" i="1"/>
  <c r="I225" i="1"/>
  <c r="I207" i="1"/>
  <c r="F243" i="1"/>
  <c r="F225" i="1"/>
  <c r="F207" i="1"/>
  <c r="J234" i="1"/>
  <c r="J216" i="1"/>
  <c r="H243" i="1"/>
  <c r="H238" i="1"/>
  <c r="F233" i="1"/>
  <c r="F215" i="1"/>
  <c r="F276" i="1"/>
  <c r="F277" i="1"/>
  <c r="J276" i="1"/>
  <c r="F314" i="1"/>
  <c r="F295" i="1"/>
  <c r="H360" i="1"/>
  <c r="H359" i="1"/>
  <c r="H358" i="1"/>
  <c r="G97" i="1"/>
  <c r="F57" i="1"/>
  <c r="F118" i="1"/>
  <c r="F244" i="1"/>
  <c r="F226" i="1"/>
  <c r="F208" i="1"/>
  <c r="H225" i="1"/>
  <c r="H207" i="1"/>
  <c r="I223" i="1"/>
  <c r="I205" i="1"/>
  <c r="H240" i="1"/>
  <c r="H204" i="1"/>
  <c r="J239" i="1"/>
  <c r="J221" i="1"/>
  <c r="I239" i="1"/>
  <c r="I221" i="1"/>
  <c r="I203" i="1"/>
  <c r="F239" i="1"/>
  <c r="F221" i="1"/>
  <c r="F203" i="1"/>
  <c r="I238" i="1"/>
  <c r="I220" i="1"/>
  <c r="H220" i="1"/>
  <c r="H202" i="1"/>
  <c r="F238" i="1"/>
  <c r="F220" i="1"/>
  <c r="F202" i="1"/>
  <c r="K236" i="1"/>
  <c r="I234" i="1"/>
  <c r="I216" i="1"/>
  <c r="I198" i="1"/>
  <c r="H234" i="1"/>
  <c r="H216" i="1"/>
  <c r="H198" i="1"/>
  <c r="F234" i="1"/>
  <c r="F216" i="1"/>
  <c r="F198" i="1"/>
  <c r="I233" i="1"/>
  <c r="I215" i="1"/>
  <c r="I197" i="1"/>
  <c r="G233" i="1"/>
  <c r="G215" i="1"/>
  <c r="G197" i="1"/>
  <c r="C45" i="2"/>
  <c r="C37" i="10"/>
  <c r="D39" i="2"/>
  <c r="G655" i="1"/>
  <c r="F48" i="2"/>
  <c r="E48" i="2"/>
  <c r="D48" i="2"/>
  <c r="C48" i="2"/>
  <c r="F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E13" i="13" s="1"/>
  <c r="C13" i="13" s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/>
  <c r="F17" i="13"/>
  <c r="G17" i="13"/>
  <c r="L251" i="1"/>
  <c r="F18" i="13"/>
  <c r="G18" i="13"/>
  <c r="L252" i="1"/>
  <c r="F19" i="13"/>
  <c r="G19" i="13"/>
  <c r="L253" i="1"/>
  <c r="C114" i="2" s="1"/>
  <c r="C115" i="2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E121" i="2" s="1"/>
  <c r="E128" i="2" s="1"/>
  <c r="E145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/>
  <c r="L342" i="1"/>
  <c r="L255" i="1"/>
  <c r="C130" i="2"/>
  <c r="L336" i="1"/>
  <c r="C11" i="13"/>
  <c r="C10" i="13"/>
  <c r="C9" i="13"/>
  <c r="L361" i="1"/>
  <c r="B4" i="12"/>
  <c r="B36" i="12"/>
  <c r="C36" i="12"/>
  <c r="C37" i="12"/>
  <c r="C40" i="12" s="1"/>
  <c r="B27" i="12"/>
  <c r="C27" i="12"/>
  <c r="B31" i="12"/>
  <c r="C31" i="12"/>
  <c r="B9" i="12"/>
  <c r="B13" i="12"/>
  <c r="C9" i="12"/>
  <c r="B18" i="12"/>
  <c r="C18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63" i="2" s="1"/>
  <c r="G59" i="2"/>
  <c r="G61" i="2"/>
  <c r="F2" i="11"/>
  <c r="L613" i="1"/>
  <c r="H663" i="1" s="1"/>
  <c r="H664" i="1" s="1"/>
  <c r="H672" i="1" s="1"/>
  <c r="C6" i="10" s="1"/>
  <c r="L612" i="1"/>
  <c r="G663" i="1"/>
  <c r="L611" i="1"/>
  <c r="F663" i="1"/>
  <c r="C40" i="10"/>
  <c r="F60" i="1"/>
  <c r="G60" i="1"/>
  <c r="D56" i="2"/>
  <c r="H60" i="1"/>
  <c r="I60" i="1"/>
  <c r="F79" i="1"/>
  <c r="F94" i="1"/>
  <c r="F111" i="1"/>
  <c r="G111" i="1"/>
  <c r="H79" i="1"/>
  <c r="H94" i="1"/>
  <c r="E58" i="2" s="1"/>
  <c r="E62" i="2" s="1"/>
  <c r="E63" i="2" s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C85" i="2"/>
  <c r="F162" i="1"/>
  <c r="G147" i="1"/>
  <c r="G162" i="1"/>
  <c r="H147" i="1"/>
  <c r="H169" i="1" s="1"/>
  <c r="C39" i="10" s="1"/>
  <c r="H162" i="1"/>
  <c r="I147" i="1"/>
  <c r="I162" i="1"/>
  <c r="L250" i="1"/>
  <c r="C113" i="2"/>
  <c r="L332" i="1"/>
  <c r="L254" i="1"/>
  <c r="L268" i="1"/>
  <c r="L269" i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51" i="1"/>
  <c r="L347" i="1"/>
  <c r="K351" i="1"/>
  <c r="L521" i="1"/>
  <c r="F549" i="1"/>
  <c r="L522" i="1"/>
  <c r="F550" i="1" s="1"/>
  <c r="L523" i="1"/>
  <c r="F551" i="1"/>
  <c r="L526" i="1"/>
  <c r="G549" i="1" s="1"/>
  <c r="L527" i="1"/>
  <c r="G550" i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/>
  <c r="C22" i="2"/>
  <c r="D22" i="2"/>
  <c r="E22" i="2"/>
  <c r="F22" i="2"/>
  <c r="I449" i="1"/>
  <c r="J23" i="1" s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/>
  <c r="I457" i="1"/>
  <c r="J37" i="1" s="1"/>
  <c r="I459" i="1"/>
  <c r="J48" i="1" s="1"/>
  <c r="G47" i="2" s="1"/>
  <c r="C56" i="2"/>
  <c r="F56" i="2"/>
  <c r="E57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 s="1"/>
  <c r="E81" i="2" s="1"/>
  <c r="F69" i="2"/>
  <c r="F70" i="2"/>
  <c r="G69" i="2"/>
  <c r="G70" i="2" s="1"/>
  <c r="G81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D104" i="2" s="1"/>
  <c r="E77" i="2"/>
  <c r="F77" i="2"/>
  <c r="F78" i="2"/>
  <c r="F81" i="2" s="1"/>
  <c r="G77" i="2"/>
  <c r="G78" i="2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3" i="2"/>
  <c r="D115" i="2"/>
  <c r="F115" i="2"/>
  <c r="G115" i="2"/>
  <c r="C122" i="2"/>
  <c r="E125" i="2"/>
  <c r="F128" i="2"/>
  <c r="G128" i="2"/>
  <c r="E130" i="2"/>
  <c r="D134" i="2"/>
  <c r="D144" i="2" s="1"/>
  <c r="E134" i="2"/>
  <c r="F134" i="2"/>
  <c r="K419" i="1"/>
  <c r="K427" i="1"/>
  <c r="K433" i="1"/>
  <c r="L263" i="1"/>
  <c r="C135" i="2"/>
  <c r="E135" i="2"/>
  <c r="L264" i="1"/>
  <c r="C136" i="2"/>
  <c r="L265" i="1"/>
  <c r="C137" i="2" s="1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 s="1"/>
  <c r="G161" i="2" s="1"/>
  <c r="H500" i="1"/>
  <c r="D161" i="2"/>
  <c r="I500" i="1"/>
  <c r="E161" i="2" s="1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 s="1"/>
  <c r="H503" i="1"/>
  <c r="D164" i="2"/>
  <c r="I503" i="1"/>
  <c r="E164" i="2" s="1"/>
  <c r="J503" i="1"/>
  <c r="F164" i="2"/>
  <c r="F19" i="1"/>
  <c r="G617" i="1" s="1"/>
  <c r="G19" i="1"/>
  <c r="G618" i="1"/>
  <c r="H19" i="1"/>
  <c r="G619" i="1" s="1"/>
  <c r="I19" i="1"/>
  <c r="F32" i="1"/>
  <c r="G32" i="1"/>
  <c r="H32" i="1"/>
  <c r="I32" i="1"/>
  <c r="F177" i="1"/>
  <c r="F192" i="1" s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/>
  <c r="G446" i="1"/>
  <c r="G640" i="1" s="1"/>
  <c r="H446" i="1"/>
  <c r="I446" i="1"/>
  <c r="G642" i="1"/>
  <c r="F452" i="1"/>
  <c r="G452" i="1"/>
  <c r="H452" i="1"/>
  <c r="F460" i="1"/>
  <c r="F461" i="1" s="1"/>
  <c r="H639" i="1" s="1"/>
  <c r="J639" i="1" s="1"/>
  <c r="G460" i="1"/>
  <c r="H460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I571" i="1" s="1"/>
  <c r="J565" i="1"/>
  <c r="K565" i="1"/>
  <c r="L567" i="1"/>
  <c r="L570" i="1" s="1"/>
  <c r="L571" i="1" s="1"/>
  <c r="L568" i="1"/>
  <c r="L569" i="1"/>
  <c r="F570" i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 s="1"/>
  <c r="J650" i="1" s="1"/>
  <c r="J598" i="1"/>
  <c r="H651" i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41" i="1"/>
  <c r="G643" i="1"/>
  <c r="G644" i="1"/>
  <c r="G650" i="1"/>
  <c r="G652" i="1"/>
  <c r="H652" i="1"/>
  <c r="G653" i="1"/>
  <c r="H653" i="1"/>
  <c r="G654" i="1"/>
  <c r="H654" i="1"/>
  <c r="H655" i="1"/>
  <c r="J655" i="1" s="1"/>
  <c r="C26" i="10"/>
  <c r="A31" i="12"/>
  <c r="D17" i="13"/>
  <c r="C17" i="13"/>
  <c r="E78" i="2"/>
  <c r="I169" i="1"/>
  <c r="J140" i="1"/>
  <c r="H192" i="1"/>
  <c r="H571" i="1"/>
  <c r="B37" i="12"/>
  <c r="B40" i="12" s="1"/>
  <c r="A40" i="12" s="1"/>
  <c r="F169" i="1"/>
  <c r="J545" i="1"/>
  <c r="E137" i="2"/>
  <c r="F130" i="2"/>
  <c r="F144" i="2" s="1"/>
  <c r="F145" i="2" s="1"/>
  <c r="C20" i="12"/>
  <c r="C19" i="12"/>
  <c r="C25" i="10"/>
  <c r="E118" i="2"/>
  <c r="E16" i="13"/>
  <c r="G157" i="2"/>
  <c r="G156" i="2"/>
  <c r="F18" i="2"/>
  <c r="E112" i="2"/>
  <c r="H461" i="1"/>
  <c r="H641" i="1"/>
  <c r="J641" i="1" s="1"/>
  <c r="L419" i="1"/>
  <c r="G408" i="1"/>
  <c r="H645" i="1" s="1"/>
  <c r="G192" i="1"/>
  <c r="H140" i="1"/>
  <c r="L393" i="1"/>
  <c r="C138" i="2" s="1"/>
  <c r="B19" i="12"/>
  <c r="B20" i="12"/>
  <c r="E124" i="2"/>
  <c r="E120" i="2"/>
  <c r="D18" i="13"/>
  <c r="C18" i="13"/>
  <c r="D19" i="13"/>
  <c r="C19" i="13" s="1"/>
  <c r="K571" i="1"/>
  <c r="L560" i="1"/>
  <c r="G461" i="1"/>
  <c r="H640" i="1" s="1"/>
  <c r="L433" i="1"/>
  <c r="L434" i="1" s="1"/>
  <c r="J472" i="1" s="1"/>
  <c r="J474" i="1" s="1"/>
  <c r="E123" i="2"/>
  <c r="L565" i="1"/>
  <c r="L544" i="1"/>
  <c r="K545" i="1"/>
  <c r="L534" i="1"/>
  <c r="G545" i="1"/>
  <c r="H545" i="1"/>
  <c r="L524" i="1"/>
  <c r="I545" i="1"/>
  <c r="K598" i="1"/>
  <c r="G647" i="1" s="1"/>
  <c r="J647" i="1" s="1"/>
  <c r="I369" i="1"/>
  <c r="H634" i="1"/>
  <c r="J634" i="1"/>
  <c r="F22" i="13"/>
  <c r="C22" i="13" s="1"/>
  <c r="D14" i="13"/>
  <c r="C14" i="13"/>
  <c r="D31" i="2"/>
  <c r="D18" i="2"/>
  <c r="I460" i="1"/>
  <c r="J338" i="1"/>
  <c r="J352" i="1" s="1"/>
  <c r="G662" i="1"/>
  <c r="E122" i="2"/>
  <c r="C19" i="10"/>
  <c r="E119" i="2"/>
  <c r="H338" i="1"/>
  <c r="H352" i="1"/>
  <c r="L328" i="1"/>
  <c r="L309" i="1"/>
  <c r="G338" i="1"/>
  <c r="G352" i="1"/>
  <c r="E109" i="2"/>
  <c r="E114" i="2"/>
  <c r="E110" i="2"/>
  <c r="F338" i="1"/>
  <c r="F352" i="1"/>
  <c r="E31" i="2"/>
  <c r="G62" i="2"/>
  <c r="C35" i="10"/>
  <c r="D127" i="2"/>
  <c r="D128" i="2" s="1"/>
  <c r="H661" i="1"/>
  <c r="F661" i="1"/>
  <c r="D91" i="2"/>
  <c r="D62" i="2"/>
  <c r="D63" i="2"/>
  <c r="C18" i="2"/>
  <c r="C91" i="2"/>
  <c r="C70" i="2"/>
  <c r="F112" i="1"/>
  <c r="C57" i="2"/>
  <c r="C62" i="2" s="1"/>
  <c r="C63" i="2" s="1"/>
  <c r="L270" i="1"/>
  <c r="L256" i="1"/>
  <c r="H647" i="1"/>
  <c r="C123" i="2"/>
  <c r="C17" i="10"/>
  <c r="D7" i="13"/>
  <c r="C7" i="13" s="1"/>
  <c r="C118" i="2"/>
  <c r="G257" i="1"/>
  <c r="G271" i="1" s="1"/>
  <c r="H662" i="1"/>
  <c r="J651" i="1"/>
  <c r="K257" i="1"/>
  <c r="K271" i="1" s="1"/>
  <c r="C111" i="2"/>
  <c r="L247" i="1"/>
  <c r="C110" i="2"/>
  <c r="C20" i="10"/>
  <c r="C18" i="10"/>
  <c r="F257" i="1"/>
  <c r="F271" i="1"/>
  <c r="C16" i="10"/>
  <c r="C13" i="10"/>
  <c r="J257" i="1"/>
  <c r="J271" i="1"/>
  <c r="I257" i="1"/>
  <c r="I271" i="1" s="1"/>
  <c r="L229" i="1"/>
  <c r="F662" i="1"/>
  <c r="D15" i="13"/>
  <c r="C15" i="13" s="1"/>
  <c r="C119" i="2"/>
  <c r="D6" i="13"/>
  <c r="C6" i="13" s="1"/>
  <c r="C15" i="10"/>
  <c r="L211" i="1"/>
  <c r="D5" i="13"/>
  <c r="C5" i="13" s="1"/>
  <c r="H257" i="1"/>
  <c r="H271" i="1"/>
  <c r="C109" i="2"/>
  <c r="H408" i="1"/>
  <c r="H644" i="1" s="1"/>
  <c r="J644" i="1" s="1"/>
  <c r="F408" i="1"/>
  <c r="H643" i="1" s="1"/>
  <c r="J643" i="1" s="1"/>
  <c r="C16" i="13"/>
  <c r="L362" i="1"/>
  <c r="G635" i="1" s="1"/>
  <c r="L290" i="1"/>
  <c r="G645" i="1"/>
  <c r="K503" i="1"/>
  <c r="L382" i="1"/>
  <c r="C29" i="10"/>
  <c r="L614" i="1"/>
  <c r="C21" i="10"/>
  <c r="C12" i="10"/>
  <c r="H25" i="13"/>
  <c r="K500" i="1"/>
  <c r="I452" i="1"/>
  <c r="C121" i="2"/>
  <c r="C112" i="2"/>
  <c r="C78" i="2"/>
  <c r="E56" i="2"/>
  <c r="G661" i="1"/>
  <c r="C11" i="10"/>
  <c r="D29" i="13"/>
  <c r="C29" i="13"/>
  <c r="D12" i="13"/>
  <c r="C12" i="13" s="1"/>
  <c r="K338" i="1"/>
  <c r="K352" i="1"/>
  <c r="E111" i="2"/>
  <c r="C10" i="10"/>
  <c r="G112" i="1"/>
  <c r="H112" i="1"/>
  <c r="C36" i="10" s="1"/>
  <c r="E8" i="13"/>
  <c r="C8" i="13" s="1"/>
  <c r="G649" i="1"/>
  <c r="J649" i="1"/>
  <c r="C124" i="2"/>
  <c r="C120" i="2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F31" i="2"/>
  <c r="C31" i="2"/>
  <c r="E18" i="2"/>
  <c r="E144" i="2"/>
  <c r="C24" i="10"/>
  <c r="G31" i="13"/>
  <c r="G33" i="13"/>
  <c r="I338" i="1"/>
  <c r="I352" i="1" s="1"/>
  <c r="L407" i="1"/>
  <c r="C140" i="2"/>
  <c r="C141" i="2"/>
  <c r="I192" i="1"/>
  <c r="E91" i="2"/>
  <c r="L408" i="1"/>
  <c r="J654" i="1"/>
  <c r="J653" i="1"/>
  <c r="G21" i="2"/>
  <c r="J434" i="1"/>
  <c r="F434" i="1"/>
  <c r="K434" i="1"/>
  <c r="G134" i="2" s="1"/>
  <c r="G144" i="2" s="1"/>
  <c r="G145" i="2"/>
  <c r="F31" i="13"/>
  <c r="J193" i="1"/>
  <c r="G646" i="1"/>
  <c r="G169" i="1"/>
  <c r="G140" i="1"/>
  <c r="G193" i="1" s="1"/>
  <c r="G628" i="1" s="1"/>
  <c r="F140" i="1"/>
  <c r="G42" i="2"/>
  <c r="F545" i="1"/>
  <c r="H434" i="1"/>
  <c r="D103" i="2"/>
  <c r="I140" i="1"/>
  <c r="I193" i="1"/>
  <c r="J652" i="1"/>
  <c r="G571" i="1"/>
  <c r="I434" i="1"/>
  <c r="G434" i="1"/>
  <c r="I663" i="1"/>
  <c r="G638" i="1"/>
  <c r="G630" i="1"/>
  <c r="I468" i="1"/>
  <c r="H630" i="1" s="1"/>
  <c r="I461" i="1"/>
  <c r="H642" i="1"/>
  <c r="J642" i="1"/>
  <c r="G636" i="1"/>
  <c r="J636" i="1" s="1"/>
  <c r="I472" i="1"/>
  <c r="B22" i="12"/>
  <c r="C22" i="12"/>
  <c r="L545" i="1"/>
  <c r="H660" i="1"/>
  <c r="H667" i="1"/>
  <c r="G660" i="1"/>
  <c r="G664" i="1" s="1"/>
  <c r="E115" i="2"/>
  <c r="G637" i="1"/>
  <c r="I661" i="1"/>
  <c r="C27" i="10"/>
  <c r="C28" i="10"/>
  <c r="D22" i="10" s="1"/>
  <c r="E104" i="2"/>
  <c r="C81" i="2"/>
  <c r="C104" i="2"/>
  <c r="F193" i="1"/>
  <c r="G627" i="1" s="1"/>
  <c r="I662" i="1"/>
  <c r="C128" i="2"/>
  <c r="H648" i="1"/>
  <c r="L257" i="1"/>
  <c r="L271" i="1" s="1"/>
  <c r="F660" i="1"/>
  <c r="F664" i="1"/>
  <c r="F667" i="1" s="1"/>
  <c r="C25" i="13"/>
  <c r="H33" i="13"/>
  <c r="G104" i="2"/>
  <c r="L338" i="1"/>
  <c r="L352" i="1" s="1"/>
  <c r="H472" i="1" s="1"/>
  <c r="G631" i="1"/>
  <c r="C38" i="10"/>
  <c r="C41" i="10" s="1"/>
  <c r="H636" i="1"/>
  <c r="I474" i="1"/>
  <c r="I470" i="1"/>
  <c r="I476" i="1" s="1"/>
  <c r="A22" i="12"/>
  <c r="H638" i="1"/>
  <c r="J638" i="1"/>
  <c r="G633" i="1"/>
  <c r="G468" i="1"/>
  <c r="I660" i="1"/>
  <c r="I664" i="1"/>
  <c r="I672" i="1" s="1"/>
  <c r="C7" i="10" s="1"/>
  <c r="D17" i="10"/>
  <c r="D23" i="10"/>
  <c r="D10" i="10"/>
  <c r="D27" i="10"/>
  <c r="C30" i="10"/>
  <c r="D25" i="10"/>
  <c r="D20" i="10"/>
  <c r="D12" i="10"/>
  <c r="D13" i="10"/>
  <c r="D18" i="10"/>
  <c r="D24" i="10"/>
  <c r="D15" i="10"/>
  <c r="G667" i="1"/>
  <c r="G672" i="1"/>
  <c r="C5" i="10" s="1"/>
  <c r="G470" i="1"/>
  <c r="H628" i="1"/>
  <c r="J628" i="1" s="1"/>
  <c r="D36" i="10" l="1"/>
  <c r="D38" i="10"/>
  <c r="D39" i="10"/>
  <c r="D35" i="10"/>
  <c r="D41" i="10" s="1"/>
  <c r="D37" i="10"/>
  <c r="D40" i="10"/>
  <c r="F472" i="1"/>
  <c r="G632" i="1"/>
  <c r="H474" i="1"/>
  <c r="H633" i="1"/>
  <c r="J633" i="1" s="1"/>
  <c r="C145" i="2"/>
  <c r="I41" i="1"/>
  <c r="H625" i="1"/>
  <c r="J630" i="1"/>
  <c r="H193" i="1"/>
  <c r="J468" i="1"/>
  <c r="H646" i="1"/>
  <c r="J646" i="1" s="1"/>
  <c r="J645" i="1"/>
  <c r="C144" i="2"/>
  <c r="J32" i="1"/>
  <c r="G22" i="2"/>
  <c r="G31" i="2" s="1"/>
  <c r="G18" i="2"/>
  <c r="H552" i="1"/>
  <c r="K549" i="1"/>
  <c r="G552" i="1"/>
  <c r="F33" i="13"/>
  <c r="D31" i="13"/>
  <c r="K550" i="1"/>
  <c r="F552" i="1"/>
  <c r="I667" i="1"/>
  <c r="E33" i="13"/>
  <c r="D35" i="13" s="1"/>
  <c r="F672" i="1"/>
  <c r="C4" i="10" s="1"/>
  <c r="J19" i="1"/>
  <c r="G621" i="1" s="1"/>
  <c r="J648" i="1"/>
  <c r="J640" i="1"/>
  <c r="J51" i="1"/>
  <c r="G36" i="2"/>
  <c r="G50" i="2" s="1"/>
  <c r="G51" i="2" s="1"/>
  <c r="I552" i="1"/>
  <c r="K551" i="1"/>
  <c r="F468" i="1"/>
  <c r="D26" i="10"/>
  <c r="D21" i="10"/>
  <c r="D16" i="10"/>
  <c r="D19" i="10"/>
  <c r="D11" i="10"/>
  <c r="D28" i="10" s="1"/>
  <c r="D145" i="2"/>
  <c r="G164" i="2"/>
  <c r="J552" i="1"/>
  <c r="G472" i="1"/>
  <c r="H627" i="1" l="1"/>
  <c r="J627" i="1" s="1"/>
  <c r="F470" i="1"/>
  <c r="G474" i="1"/>
  <c r="G476" i="1" s="1"/>
  <c r="H635" i="1"/>
  <c r="J635" i="1" s="1"/>
  <c r="K552" i="1"/>
  <c r="H637" i="1"/>
  <c r="J637" i="1" s="1"/>
  <c r="J470" i="1"/>
  <c r="J476" i="1" s="1"/>
  <c r="H626" i="1" s="1"/>
  <c r="H631" i="1"/>
  <c r="J631" i="1" s="1"/>
  <c r="F474" i="1"/>
  <c r="H632" i="1"/>
  <c r="J632" i="1" s="1"/>
  <c r="D33" i="13"/>
  <c r="D36" i="13" s="1"/>
  <c r="C31" i="13"/>
  <c r="H468" i="1"/>
  <c r="G629" i="1"/>
  <c r="F40" i="2"/>
  <c r="F50" i="2" s="1"/>
  <c r="F51" i="2" s="1"/>
  <c r="I51" i="1"/>
  <c r="G626" i="1"/>
  <c r="J626" i="1" s="1"/>
  <c r="J52" i="1"/>
  <c r="H621" i="1" s="1"/>
  <c r="J621" i="1" s="1"/>
  <c r="H629" i="1" l="1"/>
  <c r="J629" i="1" s="1"/>
  <c r="H470" i="1"/>
  <c r="H476" i="1" s="1"/>
  <c r="G625" i="1"/>
  <c r="J625" i="1" s="1"/>
  <c r="I52" i="1"/>
  <c r="H620" i="1" s="1"/>
  <c r="J620" i="1" s="1"/>
  <c r="G48" i="1"/>
  <c r="H623" i="1"/>
  <c r="F476" i="1"/>
  <c r="F50" i="1" l="1"/>
  <c r="H622" i="1"/>
  <c r="D47" i="2"/>
  <c r="D50" i="2" s="1"/>
  <c r="D51" i="2" s="1"/>
  <c r="G51" i="1"/>
  <c r="H624" i="1"/>
  <c r="H48" i="1"/>
  <c r="H51" i="1" l="1"/>
  <c r="E47" i="2"/>
  <c r="E50" i="2" s="1"/>
  <c r="E51" i="2" s="1"/>
  <c r="C49" i="2"/>
  <c r="C50" i="2" s="1"/>
  <c r="C51" i="2" s="1"/>
  <c r="F51" i="1"/>
  <c r="G52" i="1"/>
  <c r="H618" i="1" s="1"/>
  <c r="J618" i="1" s="1"/>
  <c r="G623" i="1"/>
  <c r="J623" i="1" s="1"/>
  <c r="G622" i="1" l="1"/>
  <c r="F52" i="1"/>
  <c r="H617" i="1" s="1"/>
  <c r="J617" i="1" s="1"/>
  <c r="G624" i="1"/>
  <c r="J624" i="1" s="1"/>
  <c r="H52" i="1"/>
  <c r="H619" i="1" s="1"/>
  <c r="J619" i="1" s="1"/>
  <c r="J622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<sst xmlns="http://schemas.openxmlformats.org/spreadsheetml/2006/main" count="3960" uniqueCount="914">
  <si>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</si>
  <si>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</si>
  <si>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</si>
  <si>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</si>
  <si>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</si>
  <si>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</si>
  <si>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</si>
  <si>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</si>
  <si>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</si>
  <si>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</si>
  <si>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</si>
  <si>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</si>
  <si>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</si>
  <si>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</si>
  <si>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</si>
  <si>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</si>
  <si>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</si>
  <si>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</si>
  <si>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</si>
  <si>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</si>
  <si>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</si>
  <si>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</si>
  <si>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</si>
  <si>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</si>
  <si>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</si>
  <si>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</si>
  <si>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</si>
  <si>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</si>
  <si>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</si>
  <si>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</si>
  <si>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</si>
  <si>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</si>
  <si>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</si>
  <si>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</si>
  <si>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</si>
  <si>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</si>
  <si>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</si>
  <si>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</si>
  <si>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</si>
  <si>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</si>
  <si>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</si>
  <si>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</si>
  <si>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</si>
  <si>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</si>
  <si>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</si>
  <si>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</si>
  <si>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</si>
  <si>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</si>
  <si>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</si>
  <si>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</si>
  <si>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</si>
  <si>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</si>
  <si>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</si>
  <si>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</si>
  <si>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</si>
  <si>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</si>
  <si>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</si>
  <si>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</si>
  <si>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</si>
  <si>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</si>
  <si>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</si>
  <si>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</si>
  <si>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</si>
  <si>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</si>
  <si>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</si>
  <si>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</si>
  <si>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</si>
  <si>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</si>
  <si>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</si>
  <si>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</si>
  <si>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</si>
  <si>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</si>
  <si>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</si>
  <si>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</si>
  <si>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</si>
  <si>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</si>
  <si>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</si>
  <si>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</si>
  <si>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</si>
  <si>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</si>
  <si>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</si>
  <si>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</si>
  <si>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</si>
  <si>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</si>
  <si>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</si>
  <si>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</si>
  <si>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</si>
  <si>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</si>
  <si>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</si>
  <si>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</si>
  <si>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</si>
  <si>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</si>
  <si>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</si>
  <si>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</si>
  <si>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</si>
  <si>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</si>
  <si>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</si>
  <si>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</si>
  <si>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</si>
  <si>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</si>
  <si>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</si>
  <si>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</si>
  <si>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</si>
  <si>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</si>
  <si>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</si>
  <si>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</si>
  <si>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</si>
  <si>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</si>
  <si>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</si>
  <si>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</si>
  <si>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</si>
  <si>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</si>
  <si>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</si>
  <si>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</si>
  <si>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</si>
  <si>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</si>
  <si>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</si>
  <si>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</si>
  <si>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</si>
  <si>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</si>
  <si>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</si>
  <si>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</si>
  <si>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</si>
  <si>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</si>
  <si>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</si>
  <si>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</si>
  <si>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</si>
  <si>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</si>
  <si>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</si>
  <si>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</si>
  <si>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</si>
  <si>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</si>
  <si>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</si>
  <si>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</si>
  <si>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</si>
  <si>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</si>
  <si>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</si>
  <si>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</si>
  <si>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</si>
  <si>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</si>
  <si>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</si>
  <si>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</si>
  <si>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</si>
  <si>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</si>
  <si>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</si>
  <si>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</si>
  <si>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</si>
  <si>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</si>
  <si>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</si>
  <si>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</si>
  <si>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</si>
  <si>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</si>
  <si>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</si>
  <si>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</si>
  <si>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</si>
  <si>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</si>
  <si>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</si>
  <si>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</si>
  <si>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</si>
  <si>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</si>
  <si>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</si>
  <si>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</si>
  <si>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</si>
  <si>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</si>
  <si>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</si>
  <si>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</si>
  <si>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</si>
  <si>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</si>
  <si>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</si>
  <si>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</si>
  <si>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</si>
  <si>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</si>
  <si>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</si>
  <si>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</si>
  <si>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</si>
  <si>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</si>
  <si>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</si>
  <si>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</si>
  <si>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</si>
  <si>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</si>
  <si>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</si>
  <si>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</si>
  <si>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</si>
  <si>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</si>
  <si>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</si>
  <si>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</si>
  <si>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</si>
  <si>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</si>
  <si>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</si>
  <si>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</si>
  <si>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</si>
  <si>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</si>
  <si>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</si>
  <si>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</si>
  <si>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</si>
  <si>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</si>
  <si>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</si>
  <si>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</si>
  <si>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</si>
  <si>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</si>
  <si>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</si>
  <si>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</si>
  <si>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</si>
  <si>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</si>
  <si>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</si>
  <si>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</si>
  <si>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</si>
  <si>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</si>
  <si>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</si>
  <si>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</si>
  <si>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</si>
  <si>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</si>
  <si>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</si>
  <si>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</si>
  <si>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</si>
  <si>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</si>
  <si>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</si>
  <si>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</si>
  <si>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</si>
  <si>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</si>
  <si>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</si>
  <si>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</si>
  <si>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</si>
  <si>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</si>
  <si>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</si>
  <si>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</si>
  <si>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</si>
  <si>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</si>
  <si>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</si>
  <si>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</si>
  <si>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</si>
  <si>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</si>
  <si>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</si>
  <si>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</si>
  <si>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</si>
  <si>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</si>
  <si>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</si>
  <si>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</si>
  <si>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</si>
  <si>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</si>
  <si>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</si>
  <si>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</si>
  <si>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</si>
  <si>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</si>
  <si>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</si>
  <si>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</si>
  <si>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</si>
  <si>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</si>
  <si>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</si>
  <si>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</si>
  <si>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</si>
  <si>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</si>
  <si>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</si>
  <si>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</si>
  <si>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</si>
  <si>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</si>
  <si>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</si>
  <si>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</si>
  <si>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</si>
  <si>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</si>
  <si>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</si>
  <si>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</si>
  <si>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</si>
  <si>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</si>
  <si>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</si>
  <si>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</si>
  <si>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</si>
  <si>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</si>
  <si>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</si>
  <si>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</si>
  <si>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</si>
  <si>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</si>
  <si>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</si>
  <si>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</si>
  <si>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</si>
  <si>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</si>
  <si>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</si>
  <si>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</si>
  <si>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</si>
  <si>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</si>
  <si>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</si>
  <si>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</si>
  <si>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</si>
  <si>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</si>
  <si>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</si>
  <si>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</si>
  <si>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</si>
  <si>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</si>
  <si>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</si>
  <si>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</si>
  <si>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</si>
  <si>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</si>
  <si>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</si>
  <si>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</si>
  <si>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</si>
  <si>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</si>
  <si>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</si>
  <si>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</si>
  <si>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</si>
  <si>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</si>
  <si>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</si>
  <si>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</si>
  <si>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</si>
  <si>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</si>
  <si>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</si>
  <si>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</si>
  <si>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</si>
  <si>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</si>
  <si>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</si>
  <si>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</si>
  <si>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</si>
  <si>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</si>
  <si>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</si>
  <si>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</si>
  <si>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</si>
  <si>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</si>
  <si>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</si>
  <si>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</si>
  <si>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</si>
  <si>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</si>
  <si>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</si>
  <si>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</si>
  <si>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</si>
  <si>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</si>
  <si>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</si>
  <si>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</si>
  <si>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</si>
  <si>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</si>
  <si>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</si>
  <si>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</si>
  <si>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</si>
  <si>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</si>
  <si>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</si>
  <si>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</si>
  <si>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</si>
  <si>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</si>
  <si>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</si>
  <si>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</si>
  <si>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</si>
  <si>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</si>
  <si>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</si>
  <si>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</si>
  <si>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</si>
  <si>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</si>
  <si>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</si>
  <si>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</si>
  <si>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</si>
  <si>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</si>
  <si>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</si>
  <si>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</si>
  <si>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</si>
  <si>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</si>
  <si>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</si>
  <si>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</si>
  <si>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</si>
  <si>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</si>
  <si>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</si>
  <si>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</si>
  <si>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</si>
  <si>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</si>
  <si>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</si>
  <si>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</si>
  <si>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</si>
  <si>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</si>
  <si>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</si>
  <si>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</si>
  <si>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</si>
  <si>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</si>
  <si>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</si>
  <si>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</si>
  <si>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</si>
  <si>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</si>
  <si>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</si>
  <si>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</si>
  <si>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</si>
  <si>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</si>
  <si>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</si>
  <si>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</si>
  <si>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</si>
  <si>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</si>
  <si>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</si>
  <si>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</si>
  <si>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</si>
  <si>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</si>
  <si>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</si>
  <si>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</si>
  <si>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</si>
  <si>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</si>
  <si>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</si>
  <si>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</si>
  <si>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</si>
  <si>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</si>
  <si>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</si>
  <si>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</si>
  <si>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</si>
  <si>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</si>
  <si>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</si>
  <si>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</si>
  <si>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</si>
  <si>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</si>
  <si>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</si>
  <si>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</si>
  <si>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</si>
  <si>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</si>
  <si>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</si>
  <si>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</si>
  <si>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</si>
  <si>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</si>
  <si>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</si>
  <si>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</si>
  <si>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</si>
  <si>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</si>
  <si>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</si>
  <si>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</si>
  <si>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</si>
  <si>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</si>
  <si>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</si>
  <si>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</si>
  <si>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</si>
  <si>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</si>
  <si>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</si>
  <si>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</si>
  <si>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</si>
  <si>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</si>
  <si>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</si>
  <si>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</si>
  <si>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</si>
  <si>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</si>
  <si>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</si>
  <si>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</si>
  <si>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</si>
  <si>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</si>
  <si>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</si>
  <si>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</si>
  <si>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</si>
  <si>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</si>
  <si>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</si>
  <si>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</si>
  <si>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</si>
  <si>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</si>
  <si>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</si>
  <si>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</si>
  <si>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</si>
  <si>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</si>
  <si>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</si>
  <si>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</si>
  <si>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</si>
  <si>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</si>
  <si>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</si>
  <si>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</si>
  <si>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</si>
  <si>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</si>
  <si>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</si>
  <si>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</si>
  <si>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</si>
  <si>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</si>
  <si>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</si>
  <si>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</si>
  <si>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</si>
  <si>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</si>
  <si>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</si>
  <si>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</si>
  <si>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</si>
  <si>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</si>
  <si>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</si>
  <si>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</si>
  <si>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</si>
  <si>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</si>
  <si>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</si>
  <si>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</si>
  <si>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</si>
  <si>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</si>
  <si>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</si>
  <si>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</si>
  <si>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</si>
  <si>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</si>
  <si>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</si>
  <si>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</si>
  <si>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</si>
  <si>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</si>
  <si>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</si>
  <si>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</si>
  <si>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</si>
  <si>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</si>
  <si>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</si>
  <si>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</si>
  <si>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</si>
  <si>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</si>
  <si>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</si>
  <si>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</si>
  <si>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</si>
  <si>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</si>
  <si>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</si>
  <si>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</si>
  <si>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</si>
  <si>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</si>
  <si>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</si>
  <si>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</si>
  <si>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</si>
  <si>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</si>
  <si>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</si>
  <si>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</si>
  <si>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</si>
  <si>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</si>
  <si>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</si>
  <si>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</si>
  <si>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</si>
  <si>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</si>
  <si>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</si>
  <si>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</si>
  <si>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</si>
  <si>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</si>
  <si>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</si>
  <si>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</si>
  <si>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</si>
  <si>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</si>
  <si>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</si>
  <si>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</si>
  <si>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</si>
  <si>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</si>
  <si>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</si>
  <si>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</si>
  <si>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</si>
  <si>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</si>
  <si>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</si>
  <si>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</si>
  <si>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</si>
  <si>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</si>
  <si>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</si>
  <si>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</si>
  <si>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</si>
  <si>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</si>
  <si>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</si>
  <si>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</si>
  <si>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</si>
  <si>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</si>
  <si>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</si>
  <si>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</si>
  <si>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</si>
  <si>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</si>
  <si>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</si>
  <si>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</si>
  <si>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</si>
  <si>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</si>
  <si>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</si>
  <si>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</si>
  <si>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</si>
  <si>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</si>
  <si>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</si>
  <si>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</si>
  <si>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</si>
  <si>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</si>
  <si>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</si>
  <si>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</si>
  <si>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</si>
  <si>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</si>
  <si>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</si>
  <si>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</si>
  <si>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</si>
  <si>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</si>
  <si>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</si>
  <si>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</si>
  <si>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</si>
  <si>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</si>
  <si>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</si>
  <si>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</si>
  <si>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</si>
  <si>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</si>
  <si>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</si>
  <si>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</si>
  <si>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</si>
  <si>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</si>
  <si>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</si>
  <si>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</si>
  <si>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</si>
  <si>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</si>
  <si>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</si>
  <si>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</si>
  <si>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</si>
  <si>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</si>
  <si>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</si>
  <si>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</si>
  <si>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</si>
  <si>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</si>
  <si>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</si>
  <si>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</si>
  <si>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</si>
  <si>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</si>
  <si>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</si>
  <si>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</si>
  <si>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</si>
  <si>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</si>
  <si>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</si>
  <si>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</si>
  <si>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</si>
  <si>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</si>
  <si>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</si>
  <si>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</si>
  <si>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</si>
  <si>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</si>
  <si>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</si>
  <si>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</si>
  <si>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</si>
  <si>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</si>
  <si>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</si>
  <si>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</si>
  <si>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</si>
  <si>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</si>
  <si>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</si>
  <si>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</si>
  <si>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</si>
  <si>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</si>
  <si>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</si>
  <si>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</si>
  <si>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</si>
  <si>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</si>
  <si>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</si>
  <si>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</si>
  <si>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</si>
  <si>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</si>
  <si>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</si>
  <si>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</si>
  <si>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</si>
  <si>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</si>
  <si>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</si>
  <si>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</si>
  <si>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</si>
  <si>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</si>
  <si>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</si>
  <si>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</si>
  <si>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</si>
  <si>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</si>
  <si>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</si>
  <si>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</si>
  <si>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</si>
  <si>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</si>
  <si>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</si>
  <si>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</si>
  <si>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</si>
  <si>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</si>
  <si>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</si>
  <si>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</si>
  <si>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</si>
  <si>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</si>
  <si>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</si>
  <si>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</si>
  <si>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</si>
  <si>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</si>
  <si>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</si>
  <si>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</si>
  <si>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</si>
  <si>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</si>
  <si>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</si>
  <si>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</si>
  <si>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</si>
  <si>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</si>
  <si>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</si>
  <si>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</si>
  <si>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</si>
  <si>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</si>
  <si>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</si>
  <si>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</si>
  <si>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</si>
  <si>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</si>
  <si>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</si>
  <si>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</si>
  <si>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</si>
  <si>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</si>
  <si>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</si>
  <si>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</si>
  <si>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</si>
  <si>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</si>
  <si>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</si>
  <si>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</si>
  <si>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</si>
  <si>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</si>
  <si>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</si>
  <si>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</si>
  <si>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</si>
  <si>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</si>
  <si>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</si>
  <si>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</si>
  <si>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</si>
  <si>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</si>
  <si>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</si>
  <si>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</si>
  <si>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</si>
  <si>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</si>
  <si>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</si>
  <si>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</si>
  <si>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</si>
  <si>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</si>
  <si>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</si>
  <si>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</si>
  <si>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</si>
  <si>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</si>
  <si>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</si>
  <si>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</si>
  <si>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</si>
  <si>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</si>
  <si>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</si>
  <si>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</si>
  <si>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</si>
  <si>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</si>
  <si>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</si>
  <si>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</si>
  <si>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</si>
  <si>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</si>
  <si>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</si>
  <si>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</si>
  <si>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</si>
  <si>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</si>
  <si>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</si>
  <si>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</si>
  <si>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</si>
  <si>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</si>
  <si>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</si>
  <si>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</si>
  <si>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</si>
  <si>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</si>
  <si>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</si>
  <si>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</si>
  <si>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</si>
  <si>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</si>
  <si>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</si>
  <si>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</si>
  <si>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</si>
  <si>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</si>
  <si>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</si>
  <si>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</si>
  <si>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</si>
  <si>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</si>
  <si>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</si>
  <si>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</si>
  <si>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</si>
  <si>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</si>
  <si>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</si>
  <si>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</si>
  <si>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</si>
  <si>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</si>
  <si>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</si>
  <si>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</si>
  <si>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</si>
  <si>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</si>
  <si>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</si>
  <si>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</si>
  <si>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</si>
  <si>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</si>
  <si>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</si>
  <si>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</si>
  <si>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</si>
  <si>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</si>
  <si>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</si>
  <si>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</si>
  <si>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</si>
  <si>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</si>
  <si>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</si>
  <si>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</si>
  <si>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</si>
  <si>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</si>
  <si>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</si>
  <si>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</si>
  <si>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</si>
  <si>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</si>
  <si>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</si>
  <si>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</si>
  <si>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</si>
  <si>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</si>
  <si>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</si>
  <si>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</si>
  <si>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</si>
  <si>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</si>
  <si>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</si>
  <si>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</si>
  <si>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</si>
  <si>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</si>
  <si>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</si>
  <si>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</si>
  <si>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</si>
  <si>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</si>
  <si>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</si>
  <si>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</si>
  <si>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</si>
  <si>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</si>
  <si>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</si>
  <si>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</si>
  <si>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</si>
  <si>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</si>
  <si>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</si>
  <si>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</si>
  <si>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</si>
  <si>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</si>
  <si>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</si>
  <si>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</si>
  <si>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</si>
  <si>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</si>
  <si>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</si>
  <si>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</si>
  <si>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</si>
  <si>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</si>
  <si>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</si>
  <si>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</si>
  <si>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</si>
  <si>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</si>
  <si>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</si>
  <si>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</si>
  <si>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</si>
  <si>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</si>
  <si>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</si>
  <si>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</si>
  <si>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</si>
  <si>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</si>
  <si>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</si>
  <si>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</si>
  <si>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</si>
  <si>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</si>
  <si>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</si>
  <si>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</si>
  <si>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</si>
  <si>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</si>
  <si>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</si>
  <si>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</si>
  <si>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</si>
  <si>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</si>
  <si>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</si>
  <si>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</si>
  <si>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</si>
  <si>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</si>
  <si>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</si>
  <si>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</si>
  <si>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</si>
  <si>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</si>
  <si>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</si>
  <si>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</si>
  <si>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</si>
  <si>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</si>
  <si>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</si>
  <si>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</si>
  <si>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</si>
  <si>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</si>
  <si>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</si>
  <si>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</si>
  <si>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</si>
  <si>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</si>
  <si>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</si>
  <si>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</si>
  <si>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</si>
  <si>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</si>
  <si>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</si>
  <si>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</si>
  <si>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</si>
  <si>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</si>
  <si>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</si>
  <si>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</si>
  <si>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</si>
  <si>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</si>
  <si>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</si>
  <si>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</si>
  <si>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</si>
  <si>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</si>
  <si>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</si>
  <si>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</si>
  <si>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</si>
  <si>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</si>
  <si>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</si>
  <si>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</si>
  <si>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</si>
  <si>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</si>
  <si>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</si>
  <si>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</si>
  <si>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</si>
  <si>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</si>
  <si>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</si>
  <si>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</si>
  <si>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</si>
  <si>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</si>
  <si>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</si>
  <si>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</si>
  <si>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</si>
  <si>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</si>
  <si>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</si>
  <si>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</si>
  <si>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</si>
  <si>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</si>
  <si>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</si>
  <si>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</si>
  <si>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</si>
  <si>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</si>
  <si>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</si>
  <si>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</si>
  <si>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</si>
  <si>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</si>
  <si>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</si>
  <si>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</si>
  <si>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</si>
  <si>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</si>
  <si>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</si>
  <si>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</si>
  <si>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</si>
  <si>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</si>
  <si>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</si>
  <si>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</si>
  <si>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indexed="8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</si>
  <si>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</si>
  <si>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</si>
  <si>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</si>
  <si>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</si>
  <si>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</si>
  <si>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</si>
  <si>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</si>
  <si>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</si>
  <si>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</si>
  <si>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MERRIMACK VALLEY REGIONAL SCHOOL DISTRICT</t>
  </si>
  <si>
    <t>Beginning balance change after PY submittal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</si>
</sst>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"/>
    <numFmt numFmtId="165" formatCode="0_)"/>
    <numFmt numFmtId="166" formatCode="0.0%"/>
    <numFmt numFmtId="167" formatCode="0.0"/>
    <numFmt numFmtId="168" formatCode="#,##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168" fontId="4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2" zoomScaleNormal="112" workbookViewId="0">
      <pane xSplit="5" ySplit="3" topLeftCell="F64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352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2025312</v>
      </c>
      <c r="G9" s="18">
        <v>25704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0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f>2380+32928</f>
        <v>35308</v>
      </c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0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0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393879-86691</f>
        <v>307188</v>
      </c>
      <c r="G12" s="18"/>
      <c r="H12" s="18">
        <f>8548+14524</f>
        <v>23072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0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v>38253</v>
      </c>
      <c r="H13" s="18">
        <f>271682+1964</f>
        <v>273646</v>
      </c>
      <c r="I13" s="18"/>
      <c r="J13" s="67">
        <f>SUM(I442)</f>
        <v>598181</v>
      </c>
      <c r="K13" s="24" t="s">
        <v>286</v>
      </c>
      <c r="L13" s="24" t="s">
        <v>286</v>
      </c>
      <c r="M13" s="8"/>
      <c r="N13" s="270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f>82451+11513+1696-4491</f>
        <v>91169</v>
      </c>
      <c r="G14" s="18">
        <v>3699</v>
      </c>
      <c r="H14" s="18">
        <f>14790-420</f>
        <v>14370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0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0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9927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0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0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260000</v>
      </c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0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2718977</v>
      </c>
      <c r="G19" s="41">
        <f>SUM(G9:G18)</f>
        <v>77583</v>
      </c>
      <c r="H19" s="41">
        <f>SUM(H9:H18)</f>
        <v>311088</v>
      </c>
      <c r="I19" s="41">
        <f>SUM(I9:I18)</f>
        <v>0</v>
      </c>
      <c r="J19" s="41">
        <f>SUM(J9:J18)</f>
        <v>598181</v>
      </c>
      <c r="K19" s="45" t="s">
        <v>286</v>
      </c>
      <c r="L19" s="45" t="s">
        <v>286</v>
      </c>
      <c r="M19" s="8"/>
      <c r="N19" s="270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0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f>160417-86691</f>
        <v>73726</v>
      </c>
      <c r="H22" s="18">
        <f>245421+11113</f>
        <v>256534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0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0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471195</v>
      </c>
      <c r="G24" s="18">
        <v>3857</v>
      </c>
      <c r="H24" s="18">
        <v>3390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0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0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0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0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1724455</v>
      </c>
      <c r="G28" s="18"/>
      <c r="H28" s="18">
        <v>36003</v>
      </c>
      <c r="I28" s="18"/>
      <c r="J28" s="24" t="s">
        <v>286</v>
      </c>
      <c r="K28" s="24" t="s">
        <v>286</v>
      </c>
      <c r="L28" s="24" t="s">
        <v>286</v>
      </c>
      <c r="M28" s="8"/>
      <c r="N28" s="270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32168-10-48</f>
        <v>32110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0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75282</v>
      </c>
      <c r="G30" s="18"/>
      <c r="H30" s="18">
        <f>64144+4778</f>
        <v>68922</v>
      </c>
      <c r="I30" s="18"/>
      <c r="J30" s="24" t="s">
        <v>286</v>
      </c>
      <c r="K30" s="24" t="s">
        <v>286</v>
      </c>
      <c r="L30" s="24" t="s">
        <v>286</v>
      </c>
      <c r="M30" s="8"/>
      <c r="N30" s="270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0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2303042</v>
      </c>
      <c r="G32" s="41">
        <f>SUM(G22:G31)</f>
        <v>77583</v>
      </c>
      <c r="H32" s="41">
        <f>SUM(H22:H31)</f>
        <v>364849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0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0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0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9927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0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0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0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0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0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0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f>I476</f>
        <v>0</v>
      </c>
      <c r="J41" s="24" t="s">
        <v>286</v>
      </c>
      <c r="K41" s="24" t="s">
        <v>286</v>
      </c>
      <c r="L41" s="24" t="s">
        <v>286</v>
      </c>
      <c r="M41" s="8"/>
      <c r="N41" s="270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0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0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360000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0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0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0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0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f>G476-9927</f>
        <v>-9927</v>
      </c>
      <c r="H48" s="18">
        <f>H476</f>
        <v>-53761</v>
      </c>
      <c r="I48" s="18"/>
      <c r="J48" s="13">
        <f>SUM(I459)</f>
        <v>598181</v>
      </c>
      <c r="K48" s="24" t="s">
        <v>286</v>
      </c>
      <c r="L48" s="24" t="s">
        <v>286</v>
      </c>
      <c r="M48" s="8"/>
      <c r="N48" s="270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F476-360000</f>
        <v>55935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0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415935</v>
      </c>
      <c r="G51" s="41">
        <f>SUM(G35:G50)</f>
        <v>0</v>
      </c>
      <c r="H51" s="41">
        <f>SUM(H35:H50)</f>
        <v>-53761</v>
      </c>
      <c r="I51" s="41">
        <f>SUM(I35:I50)</f>
        <v>0</v>
      </c>
      <c r="J51" s="41">
        <f>SUM(J35:J50)</f>
        <v>598181</v>
      </c>
      <c r="K51" s="45" t="s">
        <v>286</v>
      </c>
      <c r="L51" s="45" t="s">
        <v>286</v>
      </c>
      <c r="N51" s="181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2718977</v>
      </c>
      <c r="G52" s="41">
        <f>G51+G32</f>
        <v>77583</v>
      </c>
      <c r="H52" s="41">
        <f>H51+H32</f>
        <v>311088</v>
      </c>
      <c r="I52" s="41">
        <f>I51+I32</f>
        <v>0</v>
      </c>
      <c r="J52" s="41">
        <f>J51+J32</f>
        <v>598181</v>
      </c>
      <c r="K52" s="45" t="s">
        <v>286</v>
      </c>
      <c r="L52" s="45" t="s">
        <v>286</v>
      </c>
      <c r="M52" s="8"/>
      <c r="N52" s="270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0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0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0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0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f>7193137+3966639+7142955+2158483+2399999-5310</f>
        <v>22855903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0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0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65494</v>
      </c>
      <c r="G59" s="18"/>
      <c r="H59" s="18"/>
      <c r="I59" s="18"/>
      <c r="J59" s="18"/>
      <c r="K59" s="24" t="s">
        <v>286</v>
      </c>
      <c r="L59" s="24" t="s">
        <v>286</v>
      </c>
      <c r="M59" s="31"/>
      <c r="N59" s="271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22921397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1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0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0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0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0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1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0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0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723395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0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68654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0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0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0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0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0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0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0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0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0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181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792049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0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0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0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0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0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0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0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0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0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0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0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0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0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0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0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0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0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460</v>
      </c>
      <c r="G96" s="18">
        <v>12</v>
      </c>
      <c r="H96" s="18"/>
      <c r="I96" s="18"/>
      <c r="J96" s="18">
        <v>12501</v>
      </c>
      <c r="K96" s="24" t="s">
        <v>286</v>
      </c>
      <c r="L96" s="24" t="s">
        <v>286</v>
      </c>
      <c r="M96" s="8"/>
      <c r="N96" s="270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621843-5-163-42-16-11-198+2</f>
        <v>621410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0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0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0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0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27089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0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0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0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0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0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0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0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0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0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33611</f>
        <v>33611</v>
      </c>
      <c r="G110" s="18">
        <v>21159</v>
      </c>
      <c r="H110" s="18"/>
      <c r="I110" s="18"/>
      <c r="J110" s="18"/>
      <c r="K110" s="24" t="s">
        <v>286</v>
      </c>
      <c r="L110" s="24" t="s">
        <v>286</v>
      </c>
      <c r="M110" s="8"/>
      <c r="N110" s="270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61160</v>
      </c>
      <c r="G111" s="41">
        <f>SUM(G96:G110)</f>
        <v>642581</v>
      </c>
      <c r="H111" s="41">
        <f>SUM(H96:H110)</f>
        <v>0</v>
      </c>
      <c r="I111" s="41">
        <f>SUM(I96:I110)</f>
        <v>0</v>
      </c>
      <c r="J111" s="41">
        <f>SUM(J96:J110)</f>
        <v>12501</v>
      </c>
      <c r="K111" s="45" t="s">
        <v>286</v>
      </c>
      <c r="L111" s="45" t="s">
        <v>286</v>
      </c>
      <c r="N111" s="181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23774606</v>
      </c>
      <c r="G112" s="41">
        <f>G60+G111</f>
        <v>642581</v>
      </c>
      <c r="H112" s="41">
        <f>H60+H79+H94+H111</f>
        <v>0</v>
      </c>
      <c r="I112" s="41">
        <f>I60+I111</f>
        <v>0</v>
      </c>
      <c r="J112" s="41">
        <f>J60+J111</f>
        <v>12501</v>
      </c>
      <c r="K112" s="45" t="s">
        <v>286</v>
      </c>
      <c r="L112" s="45" t="s">
        <v>286</v>
      </c>
      <c r="M112" s="8"/>
      <c r="N112" s="270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0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0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0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0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9951634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0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f>3203133+5310</f>
        <v>3208443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0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0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59571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0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13219648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0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0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0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0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0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214252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0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0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22312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0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0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0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0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13811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0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0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0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236564</v>
      </c>
      <c r="G136" s="41">
        <f>SUM(G123:G135)</f>
        <v>13811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0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0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0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0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13456212</v>
      </c>
      <c r="G140" s="41">
        <f>G121+SUM(G136:G137)</f>
        <v>13811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0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0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0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0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0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0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0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0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0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0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18571</v>
      </c>
      <c r="I150" s="18"/>
      <c r="J150" s="24" t="s">
        <v>286</v>
      </c>
      <c r="K150" s="24" t="s">
        <v>286</v>
      </c>
      <c r="L150" s="24" t="s">
        <v>286</v>
      </c>
      <c r="M150" s="8"/>
      <c r="N150" s="270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0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0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0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540751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0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0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0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0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384539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0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610094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0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462140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0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86512</v>
      </c>
      <c r="I161" s="18"/>
      <c r="J161" s="24" t="s">
        <v>286</v>
      </c>
      <c r="K161" s="24" t="s">
        <v>286</v>
      </c>
      <c r="L161" s="24" t="s">
        <v>286</v>
      </c>
      <c r="M161" s="8"/>
      <c r="N161" s="270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462140</v>
      </c>
      <c r="G162" s="41">
        <f>SUM(G150:G161)</f>
        <v>384539</v>
      </c>
      <c r="H162" s="41">
        <f>SUM(H150:H161)</f>
        <v>1255928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0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0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0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0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0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0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0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462140</v>
      </c>
      <c r="G169" s="41">
        <f>G147+G162+SUM(G163:G168)</f>
        <v>384539</v>
      </c>
      <c r="H169" s="41">
        <f>H147+H162+SUM(H163:H168)</f>
        <v>1255928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0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0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0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0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0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0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0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0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0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0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86691</v>
      </c>
      <c r="H179" s="18"/>
      <c r="I179" s="18"/>
      <c r="J179" s="18">
        <v>120000</v>
      </c>
      <c r="K179" s="24" t="s">
        <v>286</v>
      </c>
      <c r="L179" s="24" t="s">
        <v>286</v>
      </c>
      <c r="M179" s="8"/>
      <c r="N179" s="270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0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0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0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86691</v>
      </c>
      <c r="H183" s="41">
        <f>SUM(H179:H182)</f>
        <v>0</v>
      </c>
      <c r="I183" s="41">
        <f>SUM(I179:I182)</f>
        <v>0</v>
      </c>
      <c r="J183" s="41">
        <f>SUM(J179:J182)</f>
        <v>120000</v>
      </c>
      <c r="K183" s="45" t="s">
        <v>286</v>
      </c>
      <c r="L183" s="45" t="s">
        <v>286</v>
      </c>
      <c r="M183" s="8"/>
      <c r="N183" s="270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0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0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0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181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181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0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0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0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86691</v>
      </c>
      <c r="H192" s="41">
        <f>+H183+SUM(H188:H191)</f>
        <v>0</v>
      </c>
      <c r="I192" s="41">
        <f>I177+I183+SUM(I188:I191)</f>
        <v>0</v>
      </c>
      <c r="J192" s="41">
        <f>J183</f>
        <v>120000</v>
      </c>
      <c r="K192" s="45" t="s">
        <v>286</v>
      </c>
      <c r="L192" s="45" t="s">
        <v>286</v>
      </c>
      <c r="M192" s="8"/>
      <c r="N192" s="270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37692958</v>
      </c>
      <c r="G193" s="47">
        <f>G112+G140+G169+G192</f>
        <v>1127622</v>
      </c>
      <c r="H193" s="47">
        <f>H112+H140+H169+H192</f>
        <v>1255928</v>
      </c>
      <c r="I193" s="47">
        <f>I112+I140+I169+I192</f>
        <v>0</v>
      </c>
      <c r="J193" s="47">
        <f>J112+J140+J192</f>
        <v>132501</v>
      </c>
      <c r="K193" s="45" t="s">
        <v>286</v>
      </c>
      <c r="L193" s="45" t="s">
        <v>286</v>
      </c>
      <c r="M193" s="8"/>
      <c r="N193" s="270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0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0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4459082+186784</f>
        <v>4645866</v>
      </c>
      <c r="G197" s="18">
        <f>1453999</f>
        <v>1453999</v>
      </c>
      <c r="H197" s="18">
        <v>3214</v>
      </c>
      <c r="I197" s="18">
        <f>78875+65644</f>
        <v>144519</v>
      </c>
      <c r="J197" s="18">
        <v>47544</v>
      </c>
      <c r="K197" s="18"/>
      <c r="L197" s="19">
        <f>SUM(F197:K197)</f>
        <v>6295142</v>
      </c>
      <c r="M197" s="8"/>
      <c r="N197" s="270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1760367+65220</f>
        <v>1825587</v>
      </c>
      <c r="G198" s="18">
        <v>666667</v>
      </c>
      <c r="H198" s="18">
        <f>544495+64423</f>
        <v>608918</v>
      </c>
      <c r="I198" s="18">
        <f>2063+1137</f>
        <v>3200</v>
      </c>
      <c r="J198" s="18">
        <v>851</v>
      </c>
      <c r="K198" s="18"/>
      <c r="L198" s="19">
        <f>SUM(F198:K198)</f>
        <v>3105223</v>
      </c>
      <c r="M198" s="8"/>
      <c r="N198" s="270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52280</v>
      </c>
      <c r="G200" s="18">
        <v>38094</v>
      </c>
      <c r="H200" s="18"/>
      <c r="I200" s="18"/>
      <c r="J200" s="18"/>
      <c r="K200" s="18">
        <v>116</v>
      </c>
      <c r="L200" s="19">
        <f>SUM(F200:K200)</f>
        <v>90490</v>
      </c>
      <c r="M200" s="8"/>
      <c r="N200" s="270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0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660847+404833</f>
        <v>1065680</v>
      </c>
      <c r="G202" s="18">
        <v>399127</v>
      </c>
      <c r="H202" s="18">
        <f>268215+21255</f>
        <v>289470</v>
      </c>
      <c r="I202" s="18">
        <f>5727</f>
        <v>5727</v>
      </c>
      <c r="J202" s="18"/>
      <c r="K202" s="18">
        <v>566</v>
      </c>
      <c r="L202" s="19">
        <f t="shared" ref="L202:L208" si="0">SUM(F202:K202)</f>
        <v>1760570</v>
      </c>
      <c r="M202" s="8"/>
      <c r="N202" s="270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92744+160950</f>
        <v>253694</v>
      </c>
      <c r="G203" s="18">
        <v>127763</v>
      </c>
      <c r="H203" s="18">
        <v>34190</v>
      </c>
      <c r="I203" s="18">
        <f>8590+22173</f>
        <v>30763</v>
      </c>
      <c r="J203" s="18">
        <v>58357</v>
      </c>
      <c r="K203" s="18"/>
      <c r="L203" s="19">
        <f t="shared" si="0"/>
        <v>504767</v>
      </c>
      <c r="M203" s="8"/>
      <c r="N203" s="270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19025</v>
      </c>
      <c r="G204" s="18">
        <v>8409</v>
      </c>
      <c r="H204" s="18">
        <f>300+331576</f>
        <v>331876</v>
      </c>
      <c r="I204" s="18">
        <v>1626</v>
      </c>
      <c r="J204" s="18"/>
      <c r="K204" s="18">
        <v>1988</v>
      </c>
      <c r="L204" s="19">
        <f t="shared" si="0"/>
        <v>362924</v>
      </c>
      <c r="M204" s="8"/>
      <c r="N204" s="270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654743</v>
      </c>
      <c r="G205" s="18">
        <v>208030</v>
      </c>
      <c r="H205" s="18">
        <f>29284</f>
        <v>29284</v>
      </c>
      <c r="I205" s="18">
        <f>391+2887</f>
        <v>3278</v>
      </c>
      <c r="J205" s="18">
        <v>27017</v>
      </c>
      <c r="K205" s="18">
        <v>4332</v>
      </c>
      <c r="L205" s="19">
        <f t="shared" si="0"/>
        <v>926684</v>
      </c>
      <c r="M205" s="8"/>
      <c r="N205" s="270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397421+216985</f>
        <v>614406</v>
      </c>
      <c r="G207" s="18">
        <v>214044</v>
      </c>
      <c r="H207" s="18">
        <f>130138+146851</f>
        <v>276989</v>
      </c>
      <c r="I207" s="18">
        <f>395956+48745</f>
        <v>444701</v>
      </c>
      <c r="J207" s="18">
        <v>30099</v>
      </c>
      <c r="K207" s="18"/>
      <c r="L207" s="19">
        <f t="shared" si="0"/>
        <v>1580239</v>
      </c>
      <c r="M207" s="8"/>
      <c r="N207" s="270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f>48928+328344</f>
        <v>377272</v>
      </c>
      <c r="G208" s="18">
        <v>142103</v>
      </c>
      <c r="H208" s="18">
        <v>128584</v>
      </c>
      <c r="I208" s="18">
        <v>56118</v>
      </c>
      <c r="J208" s="18">
        <v>23119</v>
      </c>
      <c r="K208" s="18">
        <v>219</v>
      </c>
      <c r="L208" s="19">
        <f t="shared" si="0"/>
        <v>727415</v>
      </c>
      <c r="M208" s="8"/>
      <c r="N208" s="270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0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9508553</v>
      </c>
      <c r="G211" s="41">
        <f t="shared" si="1"/>
        <v>3258236</v>
      </c>
      <c r="H211" s="41">
        <f t="shared" si="1"/>
        <v>1702525</v>
      </c>
      <c r="I211" s="41">
        <f t="shared" si="1"/>
        <v>689932</v>
      </c>
      <c r="J211" s="41">
        <f t="shared" si="1"/>
        <v>186987</v>
      </c>
      <c r="K211" s="41">
        <f t="shared" si="1"/>
        <v>7221</v>
      </c>
      <c r="L211" s="41">
        <f t="shared" si="1"/>
        <v>15353454</v>
      </c>
      <c r="M211" s="8"/>
      <c r="N211" s="270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0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0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2330637+118698</f>
        <v>2449335</v>
      </c>
      <c r="G215" s="18">
        <f>923990</f>
        <v>923990</v>
      </c>
      <c r="H215" s="18">
        <v>4269</v>
      </c>
      <c r="I215" s="18">
        <f>24674+41716</f>
        <v>66390</v>
      </c>
      <c r="J215" s="18">
        <v>42823</v>
      </c>
      <c r="K215" s="18"/>
      <c r="L215" s="19">
        <f>SUM(F215:K215)</f>
        <v>3486807</v>
      </c>
      <c r="M215" s="8"/>
      <c r="N215" s="270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887169+41446</f>
        <v>928615</v>
      </c>
      <c r="G216" s="18">
        <v>423655</v>
      </c>
      <c r="H216" s="18">
        <f>357899+40940</f>
        <v>398839</v>
      </c>
      <c r="I216" s="18">
        <f>3044+723</f>
        <v>3767</v>
      </c>
      <c r="J216" s="18">
        <f>750+541</f>
        <v>1291</v>
      </c>
      <c r="K216" s="18"/>
      <c r="L216" s="19">
        <f>SUM(F216:K216)</f>
        <v>1756167</v>
      </c>
      <c r="M216" s="8"/>
      <c r="N216" s="270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71018</v>
      </c>
      <c r="G218" s="18">
        <v>24208</v>
      </c>
      <c r="H218" s="18"/>
      <c r="I218" s="18">
        <v>36000</v>
      </c>
      <c r="J218" s="18"/>
      <c r="K218" s="18">
        <v>74</v>
      </c>
      <c r="L218" s="19">
        <f>SUM(F218:K218)</f>
        <v>131300</v>
      </c>
      <c r="M218" s="8"/>
      <c r="N218" s="270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0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412565+257264</f>
        <v>669829</v>
      </c>
      <c r="G220" s="18">
        <v>253638</v>
      </c>
      <c r="H220" s="18">
        <f>77079+13507</f>
        <v>90586</v>
      </c>
      <c r="I220" s="18">
        <f>2254+22</f>
        <v>2276</v>
      </c>
      <c r="J220" s="18"/>
      <c r="K220" s="18">
        <v>360</v>
      </c>
      <c r="L220" s="19">
        <f t="shared" ref="L220:L226" si="2">SUM(F220:K220)</f>
        <v>1016689</v>
      </c>
      <c r="M220" s="8"/>
      <c r="N220" s="270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96936+102281</f>
        <v>199217</v>
      </c>
      <c r="G221" s="18">
        <v>81191</v>
      </c>
      <c r="H221" s="18">
        <v>21727</v>
      </c>
      <c r="I221" s="18">
        <f>9112+14090</f>
        <v>23202</v>
      </c>
      <c r="J221" s="18">
        <f>295+37085</f>
        <v>37380</v>
      </c>
      <c r="K221" s="18">
        <v>20</v>
      </c>
      <c r="L221" s="19">
        <f t="shared" si="2"/>
        <v>362737</v>
      </c>
      <c r="M221" s="8"/>
      <c r="N221" s="270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12090</v>
      </c>
      <c r="G222" s="18">
        <v>5344</v>
      </c>
      <c r="H222" s="18">
        <v>210711</v>
      </c>
      <c r="I222" s="18">
        <v>1033</v>
      </c>
      <c r="J222" s="18"/>
      <c r="K222" s="18">
        <v>1263</v>
      </c>
      <c r="L222" s="19">
        <f t="shared" si="2"/>
        <v>230441</v>
      </c>
      <c r="M222" s="8"/>
      <c r="N222" s="270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361400</v>
      </c>
      <c r="G223" s="18">
        <v>132199</v>
      </c>
      <c r="H223" s="18">
        <f>10782</f>
        <v>10782</v>
      </c>
      <c r="I223" s="18">
        <f>65+1835</f>
        <v>1900</v>
      </c>
      <c r="J223" s="18">
        <v>17169</v>
      </c>
      <c r="K223" s="18">
        <v>1251</v>
      </c>
      <c r="L223" s="19">
        <f t="shared" si="2"/>
        <v>524701</v>
      </c>
      <c r="M223" s="8"/>
      <c r="N223" s="270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127747+137890</f>
        <v>265637</v>
      </c>
      <c r="G225" s="18">
        <v>136021</v>
      </c>
      <c r="H225" s="18">
        <f>70011+93321</f>
        <v>163332</v>
      </c>
      <c r="I225" s="18">
        <f>108565+30977</f>
        <v>139542</v>
      </c>
      <c r="J225" s="18">
        <v>19127</v>
      </c>
      <c r="K225" s="18"/>
      <c r="L225" s="19">
        <f t="shared" si="2"/>
        <v>723659</v>
      </c>
      <c r="M225" s="8"/>
      <c r="N225" s="270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f>15772+208657</f>
        <v>224429</v>
      </c>
      <c r="G226" s="18">
        <v>90304</v>
      </c>
      <c r="H226" s="18">
        <v>81713</v>
      </c>
      <c r="I226" s="18">
        <v>35662</v>
      </c>
      <c r="J226" s="18">
        <v>14692</v>
      </c>
      <c r="K226" s="18">
        <v>139</v>
      </c>
      <c r="L226" s="19">
        <f t="shared" si="2"/>
        <v>446939</v>
      </c>
      <c r="M226" s="8"/>
      <c r="N226" s="270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0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5181570</v>
      </c>
      <c r="G229" s="41">
        <f>SUM(G215:G228)</f>
        <v>2070550</v>
      </c>
      <c r="H229" s="41">
        <f>SUM(H215:H228)</f>
        <v>981959</v>
      </c>
      <c r="I229" s="41">
        <f>SUM(I215:I228)</f>
        <v>309772</v>
      </c>
      <c r="J229" s="41">
        <f>SUM(J215:J228)</f>
        <v>132482</v>
      </c>
      <c r="K229" s="41">
        <f t="shared" si="3"/>
        <v>3107</v>
      </c>
      <c r="L229" s="41">
        <f t="shared" si="3"/>
        <v>8679440</v>
      </c>
      <c r="M229" s="8"/>
      <c r="N229" s="270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0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0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2415038+218943</f>
        <v>2633981</v>
      </c>
      <c r="G233" s="18">
        <f>1704342</f>
        <v>1704342</v>
      </c>
      <c r="H233" s="18">
        <v>3594</v>
      </c>
      <c r="I233" s="18">
        <f>75327+76947</f>
        <v>152274</v>
      </c>
      <c r="J233" s="18">
        <v>37712</v>
      </c>
      <c r="K233" s="18"/>
      <c r="L233" s="19">
        <f>SUM(F233:K233)</f>
        <v>4531903</v>
      </c>
      <c r="M233" s="8"/>
      <c r="N233" s="270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1081339+76450</f>
        <v>1157789</v>
      </c>
      <c r="G234" s="18">
        <v>781451</v>
      </c>
      <c r="H234" s="18">
        <f>472221+75515</f>
        <v>547736</v>
      </c>
      <c r="I234" s="18">
        <f>4270+1333</f>
        <v>5603</v>
      </c>
      <c r="J234" s="18">
        <f>750+997</f>
        <v>1747</v>
      </c>
      <c r="K234" s="18"/>
      <c r="L234" s="19">
        <f>SUM(F234:K234)</f>
        <v>2494326</v>
      </c>
      <c r="M234" s="8"/>
      <c r="N234" s="270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278309</v>
      </c>
      <c r="I235" s="18"/>
      <c r="J235" s="18"/>
      <c r="K235" s="18"/>
      <c r="L235" s="19">
        <f>SUM(F235:K235)</f>
        <v>278309</v>
      </c>
      <c r="M235" s="8"/>
      <c r="N235" s="270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284081</v>
      </c>
      <c r="G236" s="18">
        <v>44653</v>
      </c>
      <c r="H236" s="18">
        <v>34294</v>
      </c>
      <c r="I236" s="18">
        <v>36625</v>
      </c>
      <c r="J236" s="18"/>
      <c r="K236" s="18">
        <f>5822+136</f>
        <v>5958</v>
      </c>
      <c r="L236" s="19">
        <f>SUM(F236:K236)</f>
        <v>405611</v>
      </c>
      <c r="M236" s="8"/>
      <c r="N236" s="270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0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448797+474536</f>
        <v>923333</v>
      </c>
      <c r="G238" s="18">
        <v>467847</v>
      </c>
      <c r="H238" s="18">
        <f>221558+24915</f>
        <v>246473</v>
      </c>
      <c r="I238" s="18">
        <f>8538+41</f>
        <v>8579</v>
      </c>
      <c r="J238" s="18"/>
      <c r="K238" s="18">
        <v>664</v>
      </c>
      <c r="L238" s="19">
        <f t="shared" ref="L238:L244" si="4">SUM(F238:K238)</f>
        <v>1646896</v>
      </c>
      <c r="M238" s="8"/>
      <c r="N238" s="270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68569+188662</f>
        <v>257231</v>
      </c>
      <c r="G239" s="18">
        <v>149761</v>
      </c>
      <c r="H239" s="18">
        <v>40077</v>
      </c>
      <c r="I239" s="18">
        <f>11440+25990</f>
        <v>37430</v>
      </c>
      <c r="J239" s="18">
        <f>1602+68405</f>
        <v>70007</v>
      </c>
      <c r="K239" s="18"/>
      <c r="L239" s="19">
        <f t="shared" si="4"/>
        <v>554506</v>
      </c>
      <c r="M239" s="8"/>
      <c r="N239" s="270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22300</v>
      </c>
      <c r="G240" s="18">
        <v>9856</v>
      </c>
      <c r="H240" s="18">
        <f>203+388666</f>
        <v>388869</v>
      </c>
      <c r="I240" s="18">
        <v>1906</v>
      </c>
      <c r="J240" s="18"/>
      <c r="K240" s="18">
        <v>2330</v>
      </c>
      <c r="L240" s="19">
        <f t="shared" si="4"/>
        <v>425261</v>
      </c>
      <c r="M240" s="8"/>
      <c r="N240" s="270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395837</v>
      </c>
      <c r="G241" s="18">
        <v>243848</v>
      </c>
      <c r="H241" s="18">
        <f>20212</f>
        <v>20212</v>
      </c>
      <c r="I241" s="18">
        <v>3385</v>
      </c>
      <c r="J241" s="18">
        <v>31669</v>
      </c>
      <c r="K241" s="18">
        <v>22349</v>
      </c>
      <c r="L241" s="19">
        <f t="shared" si="4"/>
        <v>717300</v>
      </c>
      <c r="M241" s="8"/>
      <c r="N241" s="270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244386+254345</f>
        <v>498731</v>
      </c>
      <c r="G243" s="18">
        <v>250897</v>
      </c>
      <c r="H243" s="18">
        <f>92459+172135</f>
        <v>264594</v>
      </c>
      <c r="I243" s="18">
        <f>179938+57138</f>
        <v>237076</v>
      </c>
      <c r="J243" s="18">
        <v>35281</v>
      </c>
      <c r="K243" s="18"/>
      <c r="L243" s="19">
        <f t="shared" si="4"/>
        <v>1286579</v>
      </c>
      <c r="M243" s="8"/>
      <c r="N243" s="270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f>50007+384877</f>
        <v>434884</v>
      </c>
      <c r="G244" s="18">
        <v>166570</v>
      </c>
      <c r="H244" s="18">
        <v>150723</v>
      </c>
      <c r="I244" s="18">
        <v>65781</v>
      </c>
      <c r="J244" s="18">
        <v>27100</v>
      </c>
      <c r="K244" s="18">
        <v>257</v>
      </c>
      <c r="L244" s="19">
        <f t="shared" si="4"/>
        <v>845315</v>
      </c>
      <c r="M244" s="8"/>
      <c r="N244" s="270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0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6608167</v>
      </c>
      <c r="G247" s="41">
        <f t="shared" si="5"/>
        <v>3819225</v>
      </c>
      <c r="H247" s="41">
        <f t="shared" si="5"/>
        <v>1974881</v>
      </c>
      <c r="I247" s="41">
        <f t="shared" si="5"/>
        <v>548659</v>
      </c>
      <c r="J247" s="41">
        <f t="shared" si="5"/>
        <v>203516</v>
      </c>
      <c r="K247" s="41">
        <f t="shared" si="5"/>
        <v>31558</v>
      </c>
      <c r="L247" s="41">
        <f t="shared" si="5"/>
        <v>13186006</v>
      </c>
      <c r="M247" s="8"/>
      <c r="N247" s="270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0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f>622263-260000</f>
        <v>362263</v>
      </c>
      <c r="I255" s="18"/>
      <c r="J255" s="18"/>
      <c r="K255" s="18"/>
      <c r="L255" s="19">
        <f t="shared" si="6"/>
        <v>362263</v>
      </c>
      <c r="M255" s="8"/>
      <c r="N255" s="270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362263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362263</v>
      </c>
      <c r="M256" s="8"/>
      <c r="N256" s="270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21298290</v>
      </c>
      <c r="G257" s="41">
        <f t="shared" si="8"/>
        <v>9148011</v>
      </c>
      <c r="H257" s="41">
        <f t="shared" si="8"/>
        <v>5021628</v>
      </c>
      <c r="I257" s="41">
        <f t="shared" si="8"/>
        <v>1548363</v>
      </c>
      <c r="J257" s="41">
        <f t="shared" si="8"/>
        <v>522985</v>
      </c>
      <c r="K257" s="41">
        <f t="shared" si="8"/>
        <v>41886</v>
      </c>
      <c r="L257" s="41">
        <f t="shared" si="8"/>
        <v>37581163</v>
      </c>
      <c r="M257" s="8"/>
      <c r="N257" s="270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0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0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0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181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181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86691</v>
      </c>
      <c r="L263" s="19">
        <f>SUM(F263:K263)</f>
        <v>86691</v>
      </c>
      <c r="N263" s="181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181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181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120000</v>
      </c>
      <c r="L266" s="19">
        <f t="shared" si="9"/>
        <v>120000</v>
      </c>
      <c r="N266" s="181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181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181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181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206691</v>
      </c>
      <c r="L270" s="41">
        <f t="shared" si="9"/>
        <v>206691</v>
      </c>
      <c r="N270" s="181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21298290</v>
      </c>
      <c r="G271" s="42">
        <f t="shared" si="11"/>
        <v>9148011</v>
      </c>
      <c r="H271" s="42">
        <f t="shared" si="11"/>
        <v>5021628</v>
      </c>
      <c r="I271" s="42">
        <f t="shared" si="11"/>
        <v>1548363</v>
      </c>
      <c r="J271" s="42">
        <f t="shared" si="11"/>
        <v>522985</v>
      </c>
      <c r="K271" s="42">
        <f t="shared" si="11"/>
        <v>248577</v>
      </c>
      <c r="L271" s="42">
        <f t="shared" si="11"/>
        <v>37787854</v>
      </c>
      <c r="M271" s="8"/>
      <c r="N271" s="270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0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0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23874+111975-1</f>
        <v>135848</v>
      </c>
      <c r="G276" s="18">
        <v>37886</v>
      </c>
      <c r="H276" s="18">
        <v>446</v>
      </c>
      <c r="I276" s="18">
        <v>5395</v>
      </c>
      <c r="J276" s="18">
        <f>864+720</f>
        <v>1584</v>
      </c>
      <c r="K276" s="18"/>
      <c r="L276" s="19">
        <f>SUM(F276:K276)</f>
        <v>181159</v>
      </c>
      <c r="M276" s="8"/>
      <c r="N276" s="270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977+99836</f>
        <v>100813</v>
      </c>
      <c r="G277" s="18">
        <v>36812</v>
      </c>
      <c r="H277" s="18">
        <v>8243</v>
      </c>
      <c r="I277" s="18">
        <v>6727</v>
      </c>
      <c r="J277" s="18">
        <v>4417</v>
      </c>
      <c r="K277" s="18"/>
      <c r="L277" s="19">
        <f>SUM(F277:K277)</f>
        <v>157012</v>
      </c>
      <c r="M277" s="8"/>
      <c r="N277" s="270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13004</v>
      </c>
      <c r="G279" s="18">
        <v>854</v>
      </c>
      <c r="H279" s="18"/>
      <c r="I279" s="18">
        <v>156</v>
      </c>
      <c r="J279" s="18"/>
      <c r="K279" s="18"/>
      <c r="L279" s="19">
        <f>SUM(F279:K279)</f>
        <v>14014</v>
      </c>
      <c r="M279" s="8"/>
      <c r="N279" s="270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0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41897</v>
      </c>
      <c r="G281" s="18">
        <v>13525</v>
      </c>
      <c r="H281" s="18"/>
      <c r="I281" s="18"/>
      <c r="J281" s="18"/>
      <c r="K281" s="18"/>
      <c r="L281" s="19">
        <f t="shared" ref="L281:L287" si="12">SUM(F281:K281)</f>
        <v>55422</v>
      </c>
      <c r="M281" s="8"/>
      <c r="N281" s="270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12902</v>
      </c>
      <c r="G282" s="18">
        <v>4563</v>
      </c>
      <c r="H282" s="18">
        <v>35612</v>
      </c>
      <c r="I282" s="18">
        <v>5632</v>
      </c>
      <c r="J282" s="18">
        <v>346</v>
      </c>
      <c r="K282" s="18"/>
      <c r="L282" s="19">
        <f t="shared" si="12"/>
        <v>59055</v>
      </c>
      <c r="M282" s="8"/>
      <c r="N282" s="270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1979</v>
      </c>
      <c r="L285" s="19">
        <f t="shared" si="12"/>
        <v>1979</v>
      </c>
      <c r="M285" s="8"/>
      <c r="N285" s="270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1290</v>
      </c>
      <c r="I287" s="18"/>
      <c r="J287" s="18"/>
      <c r="K287" s="18"/>
      <c r="L287" s="19">
        <f t="shared" si="12"/>
        <v>1290</v>
      </c>
      <c r="M287" s="8"/>
      <c r="N287" s="270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0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304464</v>
      </c>
      <c r="G290" s="42">
        <f t="shared" si="13"/>
        <v>93640</v>
      </c>
      <c r="H290" s="42">
        <f t="shared" si="13"/>
        <v>45591</v>
      </c>
      <c r="I290" s="42">
        <f t="shared" si="13"/>
        <v>17910</v>
      </c>
      <c r="J290" s="42">
        <f t="shared" si="13"/>
        <v>6347</v>
      </c>
      <c r="K290" s="42">
        <f t="shared" si="13"/>
        <v>1979</v>
      </c>
      <c r="L290" s="41">
        <f t="shared" si="13"/>
        <v>469931</v>
      </c>
      <c r="M290" s="8"/>
      <c r="N290" s="270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0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0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f>71158</f>
        <v>71158</v>
      </c>
      <c r="G295" s="18">
        <v>24076</v>
      </c>
      <c r="H295" s="18">
        <v>283</v>
      </c>
      <c r="I295" s="18">
        <v>3429</v>
      </c>
      <c r="J295" s="18">
        <v>458</v>
      </c>
      <c r="K295" s="18"/>
      <c r="L295" s="19">
        <f>SUM(F295:K295)</f>
        <v>99404</v>
      </c>
      <c r="M295" s="8"/>
      <c r="N295" s="270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63444</v>
      </c>
      <c r="G296" s="18">
        <v>23394</v>
      </c>
      <c r="H296" s="18">
        <v>5238</v>
      </c>
      <c r="I296" s="18">
        <v>4275</v>
      </c>
      <c r="J296" s="18">
        <v>2807</v>
      </c>
      <c r="K296" s="18"/>
      <c r="L296" s="19">
        <f>SUM(F296:K296)</f>
        <v>99158</v>
      </c>
      <c r="M296" s="8"/>
      <c r="N296" s="270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>
        <v>543</v>
      </c>
      <c r="H298" s="18"/>
      <c r="I298" s="18">
        <v>99</v>
      </c>
      <c r="J298" s="18"/>
      <c r="K298" s="18"/>
      <c r="L298" s="19">
        <f>SUM(F298:K298)</f>
        <v>642</v>
      </c>
      <c r="M298" s="8"/>
      <c r="N298" s="270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0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26625</v>
      </c>
      <c r="G300" s="18">
        <v>8595</v>
      </c>
      <c r="H300" s="18"/>
      <c r="I300" s="18"/>
      <c r="J300" s="18"/>
      <c r="K300" s="18"/>
      <c r="L300" s="19">
        <f t="shared" ref="L300:L306" si="14">SUM(F300:K300)</f>
        <v>35220</v>
      </c>
      <c r="M300" s="8"/>
      <c r="N300" s="270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8199</v>
      </c>
      <c r="G301" s="18">
        <v>2899</v>
      </c>
      <c r="H301" s="18">
        <v>22631</v>
      </c>
      <c r="I301" s="18">
        <v>3579</v>
      </c>
      <c r="J301" s="18">
        <v>220</v>
      </c>
      <c r="K301" s="18"/>
      <c r="L301" s="19">
        <f t="shared" si="14"/>
        <v>37528</v>
      </c>
      <c r="M301" s="8"/>
      <c r="N301" s="270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>
        <v>1258</v>
      </c>
      <c r="L304" s="19">
        <f t="shared" si="14"/>
        <v>1258</v>
      </c>
      <c r="M304" s="8"/>
      <c r="N304" s="270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>
        <v>820</v>
      </c>
      <c r="I306" s="18"/>
      <c r="J306" s="18"/>
      <c r="K306" s="18"/>
      <c r="L306" s="19">
        <f t="shared" si="14"/>
        <v>820</v>
      </c>
      <c r="M306" s="8"/>
      <c r="N306" s="270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0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169426</v>
      </c>
      <c r="G309" s="42">
        <f t="shared" si="15"/>
        <v>59507</v>
      </c>
      <c r="H309" s="42">
        <f t="shared" si="15"/>
        <v>28972</v>
      </c>
      <c r="I309" s="42">
        <f t="shared" si="15"/>
        <v>11382</v>
      </c>
      <c r="J309" s="42">
        <f t="shared" si="15"/>
        <v>3485</v>
      </c>
      <c r="K309" s="42">
        <f t="shared" si="15"/>
        <v>1258</v>
      </c>
      <c r="L309" s="41">
        <f t="shared" si="15"/>
        <v>274030</v>
      </c>
      <c r="N309" s="181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0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0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f>131254</f>
        <v>131254</v>
      </c>
      <c r="G314" s="18">
        <v>44409</v>
      </c>
      <c r="H314" s="18">
        <v>523</v>
      </c>
      <c r="I314" s="18">
        <v>6324</v>
      </c>
      <c r="J314" s="18">
        <v>844</v>
      </c>
      <c r="K314" s="18"/>
      <c r="L314" s="19">
        <f>SUM(F314:K314)</f>
        <v>183354</v>
      </c>
      <c r="M314" s="8"/>
      <c r="N314" s="270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117025</v>
      </c>
      <c r="G315" s="18">
        <v>43151</v>
      </c>
      <c r="H315" s="18">
        <v>9662</v>
      </c>
      <c r="I315" s="18">
        <v>7885</v>
      </c>
      <c r="J315" s="18">
        <v>5177</v>
      </c>
      <c r="K315" s="18"/>
      <c r="L315" s="19">
        <f>SUM(F315:K315)</f>
        <v>182900</v>
      </c>
      <c r="M315" s="8"/>
      <c r="N315" s="270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>
        <v>1001</v>
      </c>
      <c r="H317" s="18"/>
      <c r="I317" s="18">
        <v>183</v>
      </c>
      <c r="J317" s="18"/>
      <c r="K317" s="18"/>
      <c r="L317" s="19">
        <f>SUM(F317:K317)</f>
        <v>1184</v>
      </c>
      <c r="M317" s="8"/>
      <c r="N317" s="270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0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49110</v>
      </c>
      <c r="G319" s="18">
        <v>15854</v>
      </c>
      <c r="H319" s="18"/>
      <c r="I319" s="18"/>
      <c r="J319" s="18"/>
      <c r="K319" s="18"/>
      <c r="L319" s="19">
        <f t="shared" ref="L319:L325" si="16">SUM(F319:K319)</f>
        <v>64964</v>
      </c>
      <c r="M319" s="8"/>
      <c r="N319" s="270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15123</v>
      </c>
      <c r="G320" s="18">
        <v>5348</v>
      </c>
      <c r="H320" s="18">
        <v>41744</v>
      </c>
      <c r="I320" s="18">
        <v>6602</v>
      </c>
      <c r="J320" s="18">
        <v>406</v>
      </c>
      <c r="K320" s="18"/>
      <c r="L320" s="19">
        <f t="shared" si="16"/>
        <v>69223</v>
      </c>
      <c r="M320" s="8"/>
      <c r="N320" s="270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>
        <v>2320</v>
      </c>
      <c r="L323" s="19">
        <f t="shared" si="16"/>
        <v>2320</v>
      </c>
      <c r="M323" s="8"/>
      <c r="N323" s="270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1513</v>
      </c>
      <c r="I325" s="18"/>
      <c r="J325" s="18"/>
      <c r="K325" s="18"/>
      <c r="L325" s="19">
        <f t="shared" si="16"/>
        <v>1513</v>
      </c>
      <c r="M325" s="8"/>
      <c r="N325" s="270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0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312512</v>
      </c>
      <c r="G328" s="42">
        <f t="shared" si="17"/>
        <v>109763</v>
      </c>
      <c r="H328" s="42">
        <f t="shared" si="17"/>
        <v>53442</v>
      </c>
      <c r="I328" s="42">
        <f t="shared" si="17"/>
        <v>20994</v>
      </c>
      <c r="J328" s="42">
        <f t="shared" si="17"/>
        <v>6427</v>
      </c>
      <c r="K328" s="42">
        <f t="shared" si="17"/>
        <v>2320</v>
      </c>
      <c r="L328" s="41">
        <f t="shared" si="17"/>
        <v>505458</v>
      </c>
      <c r="M328" s="8"/>
      <c r="N328" s="270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0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2466</v>
      </c>
      <c r="G335" s="18">
        <v>599</v>
      </c>
      <c r="H335" s="18">
        <v>1782</v>
      </c>
      <c r="I335" s="18"/>
      <c r="J335" s="18"/>
      <c r="K335" s="18"/>
      <c r="L335" s="19">
        <f t="shared" si="18"/>
        <v>4847</v>
      </c>
      <c r="M335" s="8"/>
      <c r="N335" s="270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2466</v>
      </c>
      <c r="G337" s="41">
        <f t="shared" si="19"/>
        <v>599</v>
      </c>
      <c r="H337" s="41">
        <f t="shared" si="19"/>
        <v>1782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4847</v>
      </c>
      <c r="M337" s="8"/>
      <c r="N337" s="270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788868</v>
      </c>
      <c r="G338" s="41">
        <f t="shared" si="20"/>
        <v>263509</v>
      </c>
      <c r="H338" s="41">
        <f t="shared" si="20"/>
        <v>129787</v>
      </c>
      <c r="I338" s="41">
        <f t="shared" si="20"/>
        <v>50286</v>
      </c>
      <c r="J338" s="41">
        <f t="shared" si="20"/>
        <v>16259</v>
      </c>
      <c r="K338" s="41">
        <f t="shared" si="20"/>
        <v>5557</v>
      </c>
      <c r="L338" s="41">
        <f t="shared" si="20"/>
        <v>1254266</v>
      </c>
      <c r="M338" s="8"/>
      <c r="N338" s="270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0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0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0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0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0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0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0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0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0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788868</v>
      </c>
      <c r="G352" s="41">
        <f>G338</f>
        <v>263509</v>
      </c>
      <c r="H352" s="41">
        <f>H338</f>
        <v>129787</v>
      </c>
      <c r="I352" s="41">
        <f>I338</f>
        <v>50286</v>
      </c>
      <c r="J352" s="41">
        <f>J338</f>
        <v>16259</v>
      </c>
      <c r="K352" s="47">
        <f>K338+K351</f>
        <v>5557</v>
      </c>
      <c r="L352" s="41">
        <f>L338+L351</f>
        <v>1254266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0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0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0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168672+25487</f>
        <v>194159</v>
      </c>
      <c r="G358" s="18">
        <v>36158</v>
      </c>
      <c r="H358" s="18">
        <f>7538+1514</f>
        <v>9052</v>
      </c>
      <c r="I358" s="18">
        <v>137628</v>
      </c>
      <c r="J358" s="18"/>
      <c r="K358" s="18">
        <v>61</v>
      </c>
      <c r="L358" s="13">
        <f>SUM(F358:K358)</f>
        <v>377058</v>
      </c>
      <c r="N358" s="181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f>69114+16197</f>
        <v>85311</v>
      </c>
      <c r="G359" s="18">
        <v>22977</v>
      </c>
      <c r="H359" s="18">
        <f>2496+962</f>
        <v>3458</v>
      </c>
      <c r="I359" s="18">
        <v>104853</v>
      </c>
      <c r="J359" s="18"/>
      <c r="K359" s="18">
        <v>39</v>
      </c>
      <c r="L359" s="19">
        <f>SUM(F359:K359)</f>
        <v>216638</v>
      </c>
      <c r="M359" s="8"/>
      <c r="N359" s="270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f>156632+29876</f>
        <v>186508</v>
      </c>
      <c r="G360" s="18">
        <v>42383</v>
      </c>
      <c r="H360" s="18">
        <f>9639+1774</f>
        <v>11413</v>
      </c>
      <c r="I360" s="18">
        <f>250824+9584</f>
        <v>260408</v>
      </c>
      <c r="J360" s="18"/>
      <c r="K360" s="18">
        <v>72</v>
      </c>
      <c r="L360" s="19">
        <f>SUM(F360:K360)</f>
        <v>500784</v>
      </c>
      <c r="M360" s="8"/>
      <c r="N360" s="270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0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465978</v>
      </c>
      <c r="G362" s="47">
        <f t="shared" si="22"/>
        <v>101518</v>
      </c>
      <c r="H362" s="47">
        <f t="shared" si="22"/>
        <v>23923</v>
      </c>
      <c r="I362" s="47">
        <f t="shared" si="22"/>
        <v>502889</v>
      </c>
      <c r="J362" s="47">
        <f t="shared" si="22"/>
        <v>0</v>
      </c>
      <c r="K362" s="47">
        <f t="shared" si="22"/>
        <v>172</v>
      </c>
      <c r="L362" s="47">
        <f t="shared" si="22"/>
        <v>1094480</v>
      </c>
      <c r="M362" s="8"/>
      <c r="N362" s="270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0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0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130502</v>
      </c>
      <c r="G367" s="18">
        <v>100067</v>
      </c>
      <c r="H367" s="18">
        <f>220906+9584</f>
        <v>230490</v>
      </c>
      <c r="I367" s="56">
        <f>SUM(F367:H367)</f>
        <v>461059</v>
      </c>
      <c r="J367" s="24" t="s">
        <v>286</v>
      </c>
      <c r="K367" s="24" t="s">
        <v>286</v>
      </c>
      <c r="L367" s="24" t="s">
        <v>286</v>
      </c>
      <c r="M367" s="8"/>
      <c r="N367" s="270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6906+220</f>
        <v>7126</v>
      </c>
      <c r="G368" s="63">
        <f>4000+786</f>
        <v>4786</v>
      </c>
      <c r="H368" s="63">
        <v>29918</v>
      </c>
      <c r="I368" s="56">
        <f>SUM(F368:H368)</f>
        <v>41830</v>
      </c>
      <c r="J368" s="24" t="s">
        <v>286</v>
      </c>
      <c r="K368" s="24" t="s">
        <v>286</v>
      </c>
      <c r="L368" s="24" t="s">
        <v>286</v>
      </c>
      <c r="M368" s="8"/>
      <c r="N368" s="270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137628</v>
      </c>
      <c r="G369" s="47">
        <f>SUM(G367:G368)</f>
        <v>104853</v>
      </c>
      <c r="H369" s="47">
        <f>SUM(H367:H368)</f>
        <v>260408</v>
      </c>
      <c r="I369" s="47">
        <f>SUM(I367:I368)</f>
        <v>502889</v>
      </c>
      <c r="J369" s="24" t="s">
        <v>286</v>
      </c>
      <c r="K369" s="24" t="s">
        <v>286</v>
      </c>
      <c r="L369" s="24" t="s">
        <v>286</v>
      </c>
      <c r="M369" s="8"/>
      <c r="N369" s="270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0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0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0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0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0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0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0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0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0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0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0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0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0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0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120000</v>
      </c>
      <c r="H396" s="18">
        <v>3958</v>
      </c>
      <c r="I396" s="18"/>
      <c r="J396" s="24" t="s">
        <v>286</v>
      </c>
      <c r="K396" s="24" t="s">
        <v>286</v>
      </c>
      <c r="L396" s="56">
        <f t="shared" si="26"/>
        <v>123958</v>
      </c>
      <c r="M396" s="8"/>
      <c r="N396" s="270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8543</v>
      </c>
      <c r="I397" s="18"/>
      <c r="J397" s="24" t="s">
        <v>286</v>
      </c>
      <c r="K397" s="24" t="s">
        <v>286</v>
      </c>
      <c r="L397" s="56">
        <f t="shared" si="26"/>
        <v>8543</v>
      </c>
      <c r="M397" s="8"/>
      <c r="N397" s="270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0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0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0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120000</v>
      </c>
      <c r="H401" s="47">
        <f>SUM(H395:H400)</f>
        <v>12501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132501</v>
      </c>
      <c r="M401" s="8"/>
      <c r="N401" s="270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0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0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0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0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0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0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120000</v>
      </c>
      <c r="H408" s="47">
        <f>H393+H401+H407</f>
        <v>12501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132501</v>
      </c>
      <c r="M408" s="8"/>
      <c r="N408" s="270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0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0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0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0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0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>
        <v>120000</v>
      </c>
      <c r="I422" s="18"/>
      <c r="J422" s="18"/>
      <c r="K422" s="18"/>
      <c r="L422" s="56">
        <f t="shared" si="29"/>
        <v>120000</v>
      </c>
      <c r="M422" s="8"/>
      <c r="N422" s="270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120000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120000</v>
      </c>
      <c r="M427" s="8"/>
      <c r="N427" s="270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120000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120000</v>
      </c>
      <c r="M434" s="8"/>
      <c r="N434" s="270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0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0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0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0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>
        <v>598181</v>
      </c>
      <c r="H442" s="18"/>
      <c r="I442" s="56">
        <f t="shared" si="33"/>
        <v>598181</v>
      </c>
      <c r="J442" s="24" t="s">
        <v>286</v>
      </c>
      <c r="K442" s="24" t="s">
        <v>286</v>
      </c>
      <c r="L442" s="24" t="s">
        <v>286</v>
      </c>
      <c r="M442" s="8"/>
      <c r="N442" s="270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0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0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0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598181</v>
      </c>
      <c r="H446" s="13">
        <f>SUM(H439:H445)</f>
        <v>0</v>
      </c>
      <c r="I446" s="13">
        <f>SUM(I439:I445)</f>
        <v>598181</v>
      </c>
      <c r="J446" s="24" t="s">
        <v>286</v>
      </c>
      <c r="K446" s="24" t="s">
        <v>286</v>
      </c>
      <c r="L446" s="24" t="s">
        <v>286</v>
      </c>
      <c r="M446" s="8"/>
      <c r="N446" s="270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0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0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0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0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0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0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0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0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0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598181</v>
      </c>
      <c r="H459" s="18"/>
      <c r="I459" s="56">
        <f t="shared" si="34"/>
        <v>598181</v>
      </c>
      <c r="J459" s="24" t="s">
        <v>286</v>
      </c>
      <c r="K459" s="24" t="s">
        <v>286</v>
      </c>
      <c r="L459" s="24" t="s">
        <v>286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598181</v>
      </c>
      <c r="H460" s="83">
        <f>SUM(H454:H459)</f>
        <v>0</v>
      </c>
      <c r="I460" s="83">
        <f>SUM(I454:I459)</f>
        <v>598181</v>
      </c>
      <c r="J460" s="24" t="s">
        <v>286</v>
      </c>
      <c r="K460" s="24" t="s">
        <v>286</v>
      </c>
      <c r="L460" s="24" t="s">
        <v>286</v>
      </c>
      <c r="N460" s="217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598181</v>
      </c>
      <c r="H461" s="42">
        <f>H452+H460</f>
        <v>0</v>
      </c>
      <c r="I461" s="42">
        <f>I452+I460</f>
        <v>598181</v>
      </c>
      <c r="J461" s="24" t="s">
        <v>286</v>
      </c>
      <c r="K461" s="24" t="s">
        <v>286</v>
      </c>
      <c r="L461" s="24" t="s">
        <v>286</v>
      </c>
      <c r="N461" s="217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17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713782</v>
      </c>
      <c r="G465" s="18">
        <v>0</v>
      </c>
      <c r="H465" s="18">
        <v>-55623</v>
      </c>
      <c r="I465" s="18">
        <v>0</v>
      </c>
      <c r="J465" s="18">
        <v>585680</v>
      </c>
      <c r="K465" s="24" t="s">
        <v>286</v>
      </c>
      <c r="L465" s="24" t="s">
        <v>286</v>
      </c>
      <c r="N465" s="217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17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17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37692958</v>
      </c>
      <c r="G468" s="18">
        <f>G193</f>
        <v>1127622</v>
      </c>
      <c r="H468" s="18">
        <f>H193</f>
        <v>1255928</v>
      </c>
      <c r="I468" s="18">
        <f>I193</f>
        <v>0</v>
      </c>
      <c r="J468" s="18">
        <f>L408</f>
        <v>132501</v>
      </c>
      <c r="K468" s="24" t="s">
        <v>286</v>
      </c>
      <c r="L468" s="24" t="s">
        <v>286</v>
      </c>
      <c r="N468" s="217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>
        <v>0</v>
      </c>
      <c r="H469" s="18">
        <v>200</v>
      </c>
      <c r="I469" s="18"/>
      <c r="J469" s="18"/>
      <c r="K469" s="24" t="s">
        <v>286</v>
      </c>
      <c r="L469" s="24" t="s">
        <v>286</v>
      </c>
      <c r="N469" s="217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37692958</v>
      </c>
      <c r="G470" s="53">
        <f>SUM(G468:G469)</f>
        <v>1127622</v>
      </c>
      <c r="H470" s="53">
        <f>SUM(H468:H469)</f>
        <v>1256128</v>
      </c>
      <c r="I470" s="53">
        <f>SUM(I468:I469)</f>
        <v>0</v>
      </c>
      <c r="J470" s="53">
        <f>SUM(J468:J469)</f>
        <v>132501</v>
      </c>
      <c r="K470" s="24" t="s">
        <v>286</v>
      </c>
      <c r="L470" s="24" t="s">
        <v>286</v>
      </c>
      <c r="N470" s="217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17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37787854</v>
      </c>
      <c r="G472" s="18">
        <f>L362</f>
        <v>1094480</v>
      </c>
      <c r="H472" s="18">
        <f>L352</f>
        <v>1254266</v>
      </c>
      <c r="I472" s="18">
        <f>L382</f>
        <v>0</v>
      </c>
      <c r="J472" s="18">
        <f>L434</f>
        <v>120000</v>
      </c>
      <c r="K472" s="24" t="s">
        <v>286</v>
      </c>
      <c r="L472" s="24" t="s">
        <v>286</v>
      </c>
      <c r="N472" s="217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f>202934+17</f>
        <v>202951</v>
      </c>
      <c r="G473" s="18">
        <v>33142</v>
      </c>
      <c r="H473" s="18"/>
      <c r="I473" s="18"/>
      <c r="J473" s="18"/>
      <c r="K473" s="24" t="s">
        <v>286</v>
      </c>
      <c r="L473" s="24" t="s">
        <v>286</v>
      </c>
      <c r="N473" s="217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37990805</v>
      </c>
      <c r="G474" s="53">
        <f>SUM(G472:G473)</f>
        <v>1127622</v>
      </c>
      <c r="H474" s="53">
        <f>SUM(H472:H473)</f>
        <v>1254266</v>
      </c>
      <c r="I474" s="53">
        <f>SUM(I472:I473)</f>
        <v>0</v>
      </c>
      <c r="J474" s="53">
        <f>SUM(J472:J473)</f>
        <v>120000</v>
      </c>
      <c r="K474" s="24" t="s">
        <v>286</v>
      </c>
      <c r="L474" s="24" t="s">
        <v>286</v>
      </c>
      <c r="N474" s="217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17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415935</v>
      </c>
      <c r="G476" s="53">
        <f>(G465+G470)- G474</f>
        <v>0</v>
      </c>
      <c r="H476" s="53">
        <f>(H465+H470)- H474</f>
        <v>-53761</v>
      </c>
      <c r="I476" s="53">
        <f>(I465+I470)- I474</f>
        <v>0</v>
      </c>
      <c r="J476" s="53">
        <f>(J465+J470)- J474</f>
        <v>598181</v>
      </c>
      <c r="K476" s="24" t="s">
        <v>286</v>
      </c>
      <c r="L476" s="24" t="s">
        <v>286</v>
      </c>
      <c r="N476" s="217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.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17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17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17"/>
    </row>
    <row r="483" spans="1:14" s="52" customFormat="1" ht="12.2" customHeight="1" x14ac:dyDescent="0.2">
      <c r="A483" s="18" t="s">
        <v>913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17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17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17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17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17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17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17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17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17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17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17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17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17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17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17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17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17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17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17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17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17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17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17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17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17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17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17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17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17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1760367+65220+977+99836</f>
        <v>1926400</v>
      </c>
      <c r="G521" s="18">
        <f>666667+36812</f>
        <v>703479</v>
      </c>
      <c r="H521" s="18">
        <f>544495+64423+8243</f>
        <v>617161</v>
      </c>
      <c r="I521" s="18">
        <f>2063+1137+6727</f>
        <v>9927</v>
      </c>
      <c r="J521" s="18">
        <f>836+4417</f>
        <v>5253</v>
      </c>
      <c r="K521" s="18"/>
      <c r="L521" s="88">
        <f>SUM(F521:K521)</f>
        <v>3262220</v>
      </c>
      <c r="N521" s="217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887169+41446+63444</f>
        <v>992059</v>
      </c>
      <c r="G522" s="18">
        <f>423655+23394</f>
        <v>447049</v>
      </c>
      <c r="H522" s="18">
        <f>357899+40940+5238</f>
        <v>404077</v>
      </c>
      <c r="I522" s="18">
        <f>3044+723+4275</f>
        <v>8042</v>
      </c>
      <c r="J522" s="18">
        <f>750+532+2807</f>
        <v>4089</v>
      </c>
      <c r="K522" s="18"/>
      <c r="L522" s="88">
        <f>SUM(F522:K522)</f>
        <v>1855316</v>
      </c>
      <c r="N522" s="217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1081339+76450+117025</f>
        <v>1274814</v>
      </c>
      <c r="G523" s="18">
        <f>781451+43151</f>
        <v>824602</v>
      </c>
      <c r="H523" s="18">
        <f>472221+75515+9662</f>
        <v>557398</v>
      </c>
      <c r="I523" s="18">
        <f>4270+1333+7885</f>
        <v>13488</v>
      </c>
      <c r="J523" s="18">
        <f>750+980+5177</f>
        <v>6907</v>
      </c>
      <c r="K523" s="18"/>
      <c r="L523" s="88">
        <f>SUM(F523:K523)</f>
        <v>2677209</v>
      </c>
      <c r="N523" s="217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4193273</v>
      </c>
      <c r="G524" s="108">
        <f t="shared" ref="G524:L524" si="36">SUM(G521:G523)</f>
        <v>1975130</v>
      </c>
      <c r="H524" s="108">
        <f t="shared" si="36"/>
        <v>1578636</v>
      </c>
      <c r="I524" s="108">
        <f t="shared" si="36"/>
        <v>31457</v>
      </c>
      <c r="J524" s="108">
        <f t="shared" si="36"/>
        <v>16249</v>
      </c>
      <c r="K524" s="108">
        <f t="shared" si="36"/>
        <v>0</v>
      </c>
      <c r="L524" s="89">
        <f t="shared" si="36"/>
        <v>7794745</v>
      </c>
      <c r="N524" s="217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17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77486+316830+31662</f>
        <v>425978</v>
      </c>
      <c r="G526" s="18">
        <f>147211+9079</f>
        <v>156290</v>
      </c>
      <c r="H526" s="18">
        <v>233733</v>
      </c>
      <c r="I526" s="18">
        <v>35</v>
      </c>
      <c r="J526" s="18"/>
      <c r="K526" s="18"/>
      <c r="L526" s="88">
        <f>SUM(F526:K526)</f>
        <v>816036</v>
      </c>
      <c r="M526" s="8"/>
      <c r="N526" s="270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f>27322+201340+20120</f>
        <v>248782</v>
      </c>
      <c r="G527" s="18">
        <f>93550+5769</f>
        <v>99319</v>
      </c>
      <c r="H527" s="18">
        <v>58309</v>
      </c>
      <c r="I527" s="18">
        <v>22</v>
      </c>
      <c r="J527" s="18"/>
      <c r="K527" s="18"/>
      <c r="L527" s="88">
        <f>SUM(F527:K527)</f>
        <v>406432</v>
      </c>
      <c r="M527" s="8"/>
      <c r="N527" s="270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f>371380+37113</f>
        <v>408493</v>
      </c>
      <c r="G528" s="18">
        <f>172557+10642</f>
        <v>183199</v>
      </c>
      <c r="H528" s="18">
        <v>116680</v>
      </c>
      <c r="I528" s="18">
        <v>41</v>
      </c>
      <c r="J528" s="18"/>
      <c r="K528" s="18"/>
      <c r="L528" s="88">
        <f>SUM(F528:K528)</f>
        <v>708413</v>
      </c>
      <c r="M528" s="8"/>
      <c r="N528" s="270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1083253</v>
      </c>
      <c r="G529" s="89">
        <f t="shared" ref="G529:L529" si="37">SUM(G526:G528)</f>
        <v>438808</v>
      </c>
      <c r="H529" s="89">
        <f t="shared" si="37"/>
        <v>408722</v>
      </c>
      <c r="I529" s="89">
        <f t="shared" si="37"/>
        <v>98</v>
      </c>
      <c r="J529" s="89">
        <f t="shared" si="37"/>
        <v>0</v>
      </c>
      <c r="K529" s="89">
        <f t="shared" si="37"/>
        <v>0</v>
      </c>
      <c r="L529" s="89">
        <f t="shared" si="37"/>
        <v>1930881</v>
      </c>
      <c r="M529" s="8"/>
      <c r="N529" s="270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0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88003+10235</f>
        <v>98238</v>
      </c>
      <c r="G531" s="18">
        <f>52297+4447</f>
        <v>56744</v>
      </c>
      <c r="H531" s="18">
        <f>21107+1295</f>
        <v>22402</v>
      </c>
      <c r="I531" s="18"/>
      <c r="J531" s="18"/>
      <c r="K531" s="18">
        <v>566</v>
      </c>
      <c r="L531" s="88">
        <f>SUM(F531:K531)</f>
        <v>177950</v>
      </c>
      <c r="M531" s="8"/>
      <c r="N531" s="270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f>54935+55924+6504</f>
        <v>117363</v>
      </c>
      <c r="G532" s="18">
        <f>33234+2826</f>
        <v>36060</v>
      </c>
      <c r="H532" s="18">
        <f>11415+823</f>
        <v>12238</v>
      </c>
      <c r="I532" s="18"/>
      <c r="J532" s="18"/>
      <c r="K532" s="18">
        <v>360</v>
      </c>
      <c r="L532" s="88">
        <f>SUM(F532:K532)</f>
        <v>166021</v>
      </c>
      <c r="M532" s="8"/>
      <c r="N532" s="270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f>54935+103155+11997</f>
        <v>170087</v>
      </c>
      <c r="G533" s="18">
        <f>61301+5212</f>
        <v>66513</v>
      </c>
      <c r="H533" s="18">
        <f>20061+1518</f>
        <v>21579</v>
      </c>
      <c r="I533" s="18"/>
      <c r="J533" s="18"/>
      <c r="K533" s="18">
        <v>664</v>
      </c>
      <c r="L533" s="88">
        <f>SUM(F533:K533)</f>
        <v>258843</v>
      </c>
      <c r="M533" s="8"/>
      <c r="N533" s="270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385688</v>
      </c>
      <c r="G534" s="89">
        <f t="shared" ref="G534:L534" si="38">SUM(G531:G533)</f>
        <v>159317</v>
      </c>
      <c r="H534" s="89">
        <f t="shared" si="38"/>
        <v>56219</v>
      </c>
      <c r="I534" s="89">
        <f t="shared" si="38"/>
        <v>0</v>
      </c>
      <c r="J534" s="89">
        <f t="shared" si="38"/>
        <v>0</v>
      </c>
      <c r="K534" s="89">
        <f t="shared" si="38"/>
        <v>1590</v>
      </c>
      <c r="L534" s="89">
        <f t="shared" si="38"/>
        <v>602814</v>
      </c>
      <c r="M534" s="8"/>
      <c r="N534" s="270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0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f>300+19629</f>
        <v>19929</v>
      </c>
      <c r="I536" s="18"/>
      <c r="J536" s="18"/>
      <c r="K536" s="18"/>
      <c r="L536" s="88">
        <f>SUM(F536:K536)</f>
        <v>19929</v>
      </c>
      <c r="M536" s="8"/>
      <c r="N536" s="270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12474</v>
      </c>
      <c r="I537" s="18"/>
      <c r="J537" s="18"/>
      <c r="K537" s="18"/>
      <c r="L537" s="88">
        <f>SUM(F537:K537)</f>
        <v>12474</v>
      </c>
      <c r="M537" s="8"/>
      <c r="N537" s="270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f>203+23008</f>
        <v>23211</v>
      </c>
      <c r="I538" s="18"/>
      <c r="J538" s="18"/>
      <c r="K538" s="18"/>
      <c r="L538" s="88">
        <f>SUM(F538:K538)</f>
        <v>23211</v>
      </c>
      <c r="M538" s="8"/>
      <c r="N538" s="270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55614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55614</v>
      </c>
      <c r="M539" s="8"/>
      <c r="N539" s="270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0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85578</v>
      </c>
      <c r="G541" s="18">
        <v>33619</v>
      </c>
      <c r="H541" s="18">
        <v>59654</v>
      </c>
      <c r="I541" s="18"/>
      <c r="J541" s="18"/>
      <c r="K541" s="18"/>
      <c r="L541" s="88">
        <f>SUM(F541:K541)</f>
        <v>178851</v>
      </c>
      <c r="M541" s="8"/>
      <c r="N541" s="270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54383</v>
      </c>
      <c r="G542" s="18">
        <v>21364</v>
      </c>
      <c r="H542" s="18">
        <v>37909</v>
      </c>
      <c r="I542" s="18"/>
      <c r="J542" s="18"/>
      <c r="K542" s="18"/>
      <c r="L542" s="88">
        <f>SUM(F542:K542)</f>
        <v>113656</v>
      </c>
      <c r="M542" s="8"/>
      <c r="N542" s="270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100312</v>
      </c>
      <c r="G543" s="18">
        <v>39407</v>
      </c>
      <c r="H543" s="18">
        <v>69925</v>
      </c>
      <c r="I543" s="18"/>
      <c r="J543" s="18"/>
      <c r="K543" s="18"/>
      <c r="L543" s="88">
        <f>SUM(F543:K543)</f>
        <v>209644</v>
      </c>
      <c r="M543" s="8"/>
      <c r="N543" s="270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240273</v>
      </c>
      <c r="G544" s="193">
        <f t="shared" ref="G544:L544" si="40">SUM(G541:G543)</f>
        <v>94390</v>
      </c>
      <c r="H544" s="193">
        <f t="shared" si="40"/>
        <v>167488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502151</v>
      </c>
      <c r="M544" s="8"/>
      <c r="N544" s="270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5902487</v>
      </c>
      <c r="G545" s="89">
        <f t="shared" ref="G545:L545" si="41">G524+G529+G534+G539+G544</f>
        <v>2667645</v>
      </c>
      <c r="H545" s="89">
        <f t="shared" si="41"/>
        <v>2266679</v>
      </c>
      <c r="I545" s="89">
        <f t="shared" si="41"/>
        <v>31555</v>
      </c>
      <c r="J545" s="89">
        <f t="shared" si="41"/>
        <v>16249</v>
      </c>
      <c r="K545" s="89">
        <f t="shared" si="41"/>
        <v>1590</v>
      </c>
      <c r="L545" s="89">
        <f t="shared" si="41"/>
        <v>10886205</v>
      </c>
      <c r="M545" s="8"/>
      <c r="N545" s="270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0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0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3262220</v>
      </c>
      <c r="G549" s="87">
        <f>L526</f>
        <v>816036</v>
      </c>
      <c r="H549" s="87">
        <f>L531</f>
        <v>177950</v>
      </c>
      <c r="I549" s="87">
        <f>L536</f>
        <v>19929</v>
      </c>
      <c r="J549" s="87">
        <f>L541</f>
        <v>178851</v>
      </c>
      <c r="K549" s="87">
        <f>SUM(F549:J549)</f>
        <v>4454986</v>
      </c>
      <c r="L549" s="24" t="s">
        <v>286</v>
      </c>
      <c r="M549" s="8"/>
      <c r="N549" s="270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1855316</v>
      </c>
      <c r="G550" s="87">
        <f>L527</f>
        <v>406432</v>
      </c>
      <c r="H550" s="87">
        <f>L532</f>
        <v>166021</v>
      </c>
      <c r="I550" s="87">
        <f>L537</f>
        <v>12474</v>
      </c>
      <c r="J550" s="87">
        <f>L542</f>
        <v>113656</v>
      </c>
      <c r="K550" s="87">
        <f>SUM(F550:J550)</f>
        <v>2553899</v>
      </c>
      <c r="L550" s="24" t="s">
        <v>286</v>
      </c>
      <c r="M550" s="8"/>
      <c r="N550" s="270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2677209</v>
      </c>
      <c r="G551" s="87">
        <f>L528</f>
        <v>708413</v>
      </c>
      <c r="H551" s="87">
        <f>L533</f>
        <v>258843</v>
      </c>
      <c r="I551" s="87">
        <f>L538</f>
        <v>23211</v>
      </c>
      <c r="J551" s="87">
        <f>L543</f>
        <v>209644</v>
      </c>
      <c r="K551" s="87">
        <f>SUM(F551:J551)</f>
        <v>3877320</v>
      </c>
      <c r="L551" s="24" t="s">
        <v>286</v>
      </c>
      <c r="M551" s="8"/>
      <c r="N551" s="270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7794745</v>
      </c>
      <c r="G552" s="89">
        <f t="shared" si="42"/>
        <v>1930881</v>
      </c>
      <c r="H552" s="89">
        <f t="shared" si="42"/>
        <v>602814</v>
      </c>
      <c r="I552" s="89">
        <f t="shared" si="42"/>
        <v>55614</v>
      </c>
      <c r="J552" s="89">
        <f t="shared" si="42"/>
        <v>502151</v>
      </c>
      <c r="K552" s="89">
        <f t="shared" si="42"/>
        <v>10886205</v>
      </c>
      <c r="L552" s="24"/>
      <c r="M552" s="8"/>
      <c r="N552" s="270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0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0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0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f>9364</f>
        <v>9364</v>
      </c>
      <c r="G562" s="18">
        <v>13220</v>
      </c>
      <c r="H562" s="18">
        <v>83</v>
      </c>
      <c r="I562" s="18">
        <v>35</v>
      </c>
      <c r="J562" s="18"/>
      <c r="K562" s="18"/>
      <c r="L562" s="88">
        <f>SUM(F562:K562)</f>
        <v>22702</v>
      </c>
      <c r="M562" s="8"/>
      <c r="N562" s="270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f>18728</f>
        <v>18728</v>
      </c>
      <c r="G563" s="18">
        <v>8401</v>
      </c>
      <c r="H563" s="18">
        <v>53</v>
      </c>
      <c r="I563" s="18">
        <v>22</v>
      </c>
      <c r="J563" s="18"/>
      <c r="K563" s="18"/>
      <c r="L563" s="88">
        <f>SUM(F563:K563)</f>
        <v>27204</v>
      </c>
      <c r="M563" s="8"/>
      <c r="N563" s="270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f>40706</f>
        <v>40706</v>
      </c>
      <c r="G564" s="18">
        <v>15496</v>
      </c>
      <c r="H564" s="18">
        <v>97</v>
      </c>
      <c r="I564" s="18">
        <v>41</v>
      </c>
      <c r="J564" s="18"/>
      <c r="K564" s="18"/>
      <c r="L564" s="88">
        <f>SUM(F564:K564)</f>
        <v>56340</v>
      </c>
      <c r="M564" s="8"/>
      <c r="N564" s="270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68798</v>
      </c>
      <c r="G565" s="89">
        <f t="shared" si="44"/>
        <v>37117</v>
      </c>
      <c r="H565" s="89">
        <f t="shared" si="44"/>
        <v>233</v>
      </c>
      <c r="I565" s="89">
        <f t="shared" si="44"/>
        <v>98</v>
      </c>
      <c r="J565" s="89">
        <f t="shared" si="44"/>
        <v>0</v>
      </c>
      <c r="K565" s="89">
        <f t="shared" si="44"/>
        <v>0</v>
      </c>
      <c r="L565" s="89">
        <f t="shared" si="44"/>
        <v>106246</v>
      </c>
      <c r="M565" s="8"/>
      <c r="N565" s="270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0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68798</v>
      </c>
      <c r="G571" s="89">
        <f t="shared" ref="G571:L571" si="46">G560+G565+G570</f>
        <v>37117</v>
      </c>
      <c r="H571" s="89">
        <f t="shared" si="46"/>
        <v>233</v>
      </c>
      <c r="I571" s="89">
        <f t="shared" si="46"/>
        <v>98</v>
      </c>
      <c r="J571" s="89">
        <f t="shared" si="46"/>
        <v>0</v>
      </c>
      <c r="K571" s="89">
        <f t="shared" si="46"/>
        <v>0</v>
      </c>
      <c r="L571" s="89">
        <f t="shared" si="46"/>
        <v>106246</v>
      </c>
      <c r="M571" s="8"/>
      <c r="N571" s="270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0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0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0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0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0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146958</v>
      </c>
      <c r="G579" s="18">
        <v>27650</v>
      </c>
      <c r="H579" s="18">
        <v>19529</v>
      </c>
      <c r="I579" s="87">
        <f t="shared" si="47"/>
        <v>194137</v>
      </c>
      <c r="J579" s="24" t="s">
        <v>286</v>
      </c>
      <c r="K579" s="24" t="s">
        <v>286</v>
      </c>
      <c r="L579" s="24" t="s">
        <v>286</v>
      </c>
      <c r="M579" s="8"/>
      <c r="N579" s="270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0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0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379340</v>
      </c>
      <c r="G582" s="18">
        <v>330158</v>
      </c>
      <c r="H582" s="18">
        <v>448094</v>
      </c>
      <c r="I582" s="87">
        <f t="shared" si="47"/>
        <v>1157592</v>
      </c>
      <c r="J582" s="24" t="s">
        <v>286</v>
      </c>
      <c r="K582" s="24" t="s">
        <v>286</v>
      </c>
      <c r="L582" s="24" t="s">
        <v>286</v>
      </c>
      <c r="M582" s="8"/>
      <c r="N582" s="270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0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278309</v>
      </c>
      <c r="I584" s="87">
        <f t="shared" si="47"/>
        <v>278309</v>
      </c>
      <c r="J584" s="24" t="s">
        <v>286</v>
      </c>
      <c r="K584" s="24" t="s">
        <v>286</v>
      </c>
      <c r="L584" s="24" t="s">
        <v>286</v>
      </c>
      <c r="M584" s="8"/>
      <c r="N584" s="270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0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0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0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47528+356767+1</f>
        <v>404296</v>
      </c>
      <c r="I591" s="18">
        <f>226719+1</f>
        <v>226720</v>
      </c>
      <c r="J591" s="18">
        <f>418193+1</f>
        <v>418194</v>
      </c>
      <c r="K591" s="104">
        <f t="shared" ref="K591:K597" si="48">SUM(H591:J591)</f>
        <v>1049210</v>
      </c>
      <c r="L591" s="24" t="s">
        <v>286</v>
      </c>
      <c r="M591" s="8"/>
      <c r="N591" s="270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178850</v>
      </c>
      <c r="I592" s="18">
        <v>113656</v>
      </c>
      <c r="J592" s="18">
        <v>209644</v>
      </c>
      <c r="K592" s="104">
        <f t="shared" si="48"/>
        <v>502150</v>
      </c>
      <c r="L592" s="24" t="s">
        <v>286</v>
      </c>
      <c r="M592" s="8"/>
      <c r="N592" s="270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113</v>
      </c>
      <c r="I593" s="18">
        <v>72</v>
      </c>
      <c r="J593" s="18">
        <f>3703+133</f>
        <v>3836</v>
      </c>
      <c r="K593" s="104">
        <f t="shared" si="48"/>
        <v>4021</v>
      </c>
      <c r="L593" s="24" t="s">
        <v>286</v>
      </c>
      <c r="M593" s="8"/>
      <c r="N593" s="270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0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f>1400+132</f>
        <v>1532</v>
      </c>
      <c r="I595" s="18">
        <f>15772+84</f>
        <v>15856</v>
      </c>
      <c r="J595" s="18">
        <f>1475+44829+154</f>
        <v>46458</v>
      </c>
      <c r="K595" s="104">
        <f t="shared" si="48"/>
        <v>63846</v>
      </c>
      <c r="L595" s="24" t="s">
        <v>286</v>
      </c>
      <c r="M595" s="8"/>
      <c r="N595" s="270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0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f>3206+139419-1</f>
        <v>142624</v>
      </c>
      <c r="I597" s="18">
        <f>2037+88598</f>
        <v>90635</v>
      </c>
      <c r="J597" s="18">
        <f>3758+163424+1</f>
        <v>167183</v>
      </c>
      <c r="K597" s="104">
        <f t="shared" si="48"/>
        <v>400442</v>
      </c>
      <c r="L597" s="24" t="s">
        <v>286</v>
      </c>
      <c r="M597" s="8"/>
      <c r="N597" s="270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727415</v>
      </c>
      <c r="I598" s="108">
        <f>SUM(I591:I597)</f>
        <v>446939</v>
      </c>
      <c r="J598" s="108">
        <f>SUM(J591:J597)</f>
        <v>845315</v>
      </c>
      <c r="K598" s="108">
        <f>SUM(K591:K597)</f>
        <v>2019669</v>
      </c>
      <c r="L598" s="24" t="s">
        <v>286</v>
      </c>
      <c r="M598" s="8"/>
      <c r="N598" s="270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0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0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47544+139429+864+5137+346+12</f>
        <v>193332</v>
      </c>
      <c r="I604" s="18">
        <f>43869+88605+3265+220+12</f>
        <v>135971</v>
      </c>
      <c r="J604" s="18">
        <f>40064+163436+6022+406+13</f>
        <v>209941</v>
      </c>
      <c r="K604" s="104">
        <f>SUM(H604:J604)</f>
        <v>539244</v>
      </c>
      <c r="L604" s="24" t="s">
        <v>286</v>
      </c>
      <c r="M604" s="8"/>
      <c r="N604" s="270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193332</v>
      </c>
      <c r="I605" s="108">
        <f>SUM(I602:I604)</f>
        <v>135971</v>
      </c>
      <c r="J605" s="108">
        <f>SUM(J602:J604)</f>
        <v>209941</v>
      </c>
      <c r="K605" s="108">
        <f>SUM(K602:K604)</f>
        <v>539244</v>
      </c>
      <c r="L605" s="24" t="s">
        <v>286</v>
      </c>
      <c r="M605" s="8"/>
      <c r="N605" s="270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0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2718977</v>
      </c>
      <c r="H617" s="109">
        <f>SUM(F52)</f>
        <v>2718977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77583</v>
      </c>
      <c r="H618" s="109">
        <f>SUM(G52)</f>
        <v>77583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311088</v>
      </c>
      <c r="H619" s="109">
        <f>SUM(H52)</f>
        <v>311088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598181</v>
      </c>
      <c r="H621" s="109">
        <f>SUM(J52)</f>
        <v>598181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415935</v>
      </c>
      <c r="H622" s="109">
        <f>F476</f>
        <v>415935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-53761</v>
      </c>
      <c r="H624" s="109">
        <f>H476</f>
        <v>-53761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598181</v>
      </c>
      <c r="H626" s="109">
        <f>J476</f>
        <v>598181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37692958</v>
      </c>
      <c r="H627" s="104">
        <f>SUM(F468)</f>
        <v>37692958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1127622</v>
      </c>
      <c r="H628" s="104">
        <f>SUM(G468)</f>
        <v>1127622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1255928</v>
      </c>
      <c r="H629" s="104">
        <f>SUM(H468)</f>
        <v>1255928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132501</v>
      </c>
      <c r="H631" s="104">
        <f>SUM(J468)</f>
        <v>132501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37787854</v>
      </c>
      <c r="H632" s="104">
        <f>SUM(F472)</f>
        <v>37787854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1254266</v>
      </c>
      <c r="H633" s="104">
        <f>SUM(H472)</f>
        <v>1254266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502889</v>
      </c>
      <c r="H634" s="104">
        <f>I369</f>
        <v>502889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1094480</v>
      </c>
      <c r="H635" s="104">
        <f>SUM(G472)</f>
        <v>1094480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132501</v>
      </c>
      <c r="H637" s="164">
        <f>SUM(J468)</f>
        <v>132501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120000</v>
      </c>
      <c r="H638" s="164">
        <f>SUM(J472)</f>
        <v>120000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598181</v>
      </c>
      <c r="H640" s="104">
        <f>SUM(G461)</f>
        <v>598181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598181</v>
      </c>
      <c r="H642" s="104">
        <f>SUM(I461)</f>
        <v>598181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12501</v>
      </c>
      <c r="H644" s="104">
        <f>H408</f>
        <v>12501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120000</v>
      </c>
      <c r="H645" s="104">
        <f>G408</f>
        <v>120000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132501</v>
      </c>
      <c r="H646" s="104">
        <f>L408</f>
        <v>132501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2019669</v>
      </c>
      <c r="H647" s="104">
        <f>L208+L226+L244</f>
        <v>2019669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539244</v>
      </c>
      <c r="H648" s="104">
        <f>(J257+J338)-(J255+J336)</f>
        <v>539244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727415</v>
      </c>
      <c r="H649" s="104">
        <f>H598</f>
        <v>727415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446939</v>
      </c>
      <c r="H650" s="104">
        <f>I598</f>
        <v>446939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845315</v>
      </c>
      <c r="H651" s="104">
        <f>J598</f>
        <v>845315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86691</v>
      </c>
      <c r="H652" s="104">
        <f>K263+K345</f>
        <v>86691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120000</v>
      </c>
      <c r="H655" s="104">
        <f>K266+K347</f>
        <v>120000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2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16200443</v>
      </c>
      <c r="G660" s="19">
        <f>(L229+L309+L359)</f>
        <v>9170108</v>
      </c>
      <c r="H660" s="19">
        <f>(L247+L328+L360)</f>
        <v>14192248</v>
      </c>
      <c r="I660" s="19">
        <f>SUM(F660:H660)</f>
        <v>39562799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221370.68014216798</v>
      </c>
      <c r="G661" s="19">
        <f>(L359/IF(SUM(L358:L360)=0,1,SUM(L358:L360))*(SUM(G97:G110)))</f>
        <v>127188.12862912068</v>
      </c>
      <c r="H661" s="19">
        <f>(L360/IF(SUM(L358:L360)=0,1,SUM(L358:L360))*(SUM(G97:G110)))</f>
        <v>294010.19122871134</v>
      </c>
      <c r="I661" s="19">
        <f>SUM(F661:H661)</f>
        <v>642569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705586</v>
      </c>
      <c r="G662" s="19">
        <f>(L226+L306)-(J226+J306)</f>
        <v>433067</v>
      </c>
      <c r="H662" s="19">
        <f>(L244+L325)-(J244+J325)</f>
        <v>819728</v>
      </c>
      <c r="I662" s="19">
        <f>SUM(F662:H662)</f>
        <v>1958381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719630</v>
      </c>
      <c r="G663" s="199">
        <f>SUM(G575:G587)+SUM(I602:I604)+L612</f>
        <v>493779</v>
      </c>
      <c r="H663" s="199">
        <f>SUM(H575:H587)+SUM(J602:J604)+L613</f>
        <v>955873</v>
      </c>
      <c r="I663" s="19">
        <f>SUM(F663:H663)</f>
        <v>2169282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14553856.319857832</v>
      </c>
      <c r="G664" s="19">
        <f>G660-SUM(G661:G663)</f>
        <v>8116073.8713708799</v>
      </c>
      <c r="H664" s="19">
        <f>H660-SUM(H661:H663)</f>
        <v>12122636.808771288</v>
      </c>
      <c r="I664" s="19">
        <f>I660-SUM(I661:I663)</f>
        <v>34792567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1045.6199999999999</v>
      </c>
      <c r="G665" s="248">
        <v>543.87</v>
      </c>
      <c r="H665" s="248">
        <v>813.18</v>
      </c>
      <c r="I665" s="19">
        <f>SUM(F665:H665)</f>
        <v>2402.6699999999996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13918.88</v>
      </c>
      <c r="G667" s="19">
        <f>ROUND(G664/G665,2)</f>
        <v>14922.82</v>
      </c>
      <c r="H667" s="19">
        <f>ROUND(H664/H665,2)</f>
        <v>14907.69</v>
      </c>
      <c r="I667" s="19">
        <f>ROUND(I664/I665,2)</f>
        <v>14480.79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-42.66</v>
      </c>
      <c r="I670" s="19">
        <f>SUM(F670:H670)</f>
        <v>-42.66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13918.88</v>
      </c>
      <c r="G672" s="19">
        <f>ROUND((G664+G669)/(G665+G670),2)</f>
        <v>14922.82</v>
      </c>
      <c r="H672" s="19">
        <f>ROUND((H664+H669)/(H665+H670),2)</f>
        <v>15733.06</v>
      </c>
      <c r="I672" s="19">
        <f>ROUND((I664+I669)/(I665+I670),2)</f>
        <v>14742.55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50" sqref="B5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MERRIMACK VALLEY REGIONAL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7" t="s">
        <v>778</v>
      </c>
      <c r="B3" s="277"/>
      <c r="C3" s="277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777</v>
      </c>
      <c r="C6" s="276"/>
    </row>
    <row r="7" spans="1:3" x14ac:dyDescent="0.2">
      <c r="A7" s="239" t="s">
        <v>780</v>
      </c>
      <c r="B7" s="274" t="s">
        <v>776</v>
      </c>
      <c r="C7" s="275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10067442</v>
      </c>
      <c r="C9" s="229">
        <f>'DOE25'!G197+'DOE25'!G215+'DOE25'!G233+'DOE25'!G276+'DOE25'!G295+'DOE25'!G314</f>
        <v>4188702</v>
      </c>
    </row>
    <row r="10" spans="1:3" x14ac:dyDescent="0.2">
      <c r="A10" t="s">
        <v>773</v>
      </c>
      <c r="B10" s="240">
        <v>9060697.8000000007</v>
      </c>
      <c r="C10" s="240">
        <f>4188702*0.1</f>
        <v>418870.2</v>
      </c>
    </row>
    <row r="11" spans="1:3" x14ac:dyDescent="0.2">
      <c r="A11" t="s">
        <v>774</v>
      </c>
      <c r="B11" s="240">
        <v>1006744.2</v>
      </c>
      <c r="C11" s="240">
        <f>4188702-C10</f>
        <v>3769831.8</v>
      </c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10067442</v>
      </c>
      <c r="C13" s="231">
        <f>SUM(C10:C12)</f>
        <v>4188702</v>
      </c>
    </row>
    <row r="14" spans="1:3" x14ac:dyDescent="0.2">
      <c r="B14" s="230"/>
      <c r="C14" s="230"/>
    </row>
    <row r="15" spans="1:3" x14ac:dyDescent="0.2">
      <c r="B15" s="276" t="s">
        <v>777</v>
      </c>
      <c r="C15" s="276"/>
    </row>
    <row r="16" spans="1:3" x14ac:dyDescent="0.2">
      <c r="A16" s="239" t="s">
        <v>781</v>
      </c>
      <c r="B16" s="274" t="s">
        <v>701</v>
      </c>
      <c r="C16" s="275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4193273</v>
      </c>
      <c r="C18" s="229">
        <f>'DOE25'!G198+'DOE25'!G216+'DOE25'!G234+'DOE25'!G277+'DOE25'!G296+'DOE25'!G315</f>
        <v>1975130</v>
      </c>
    </row>
    <row r="19" spans="1:3" x14ac:dyDescent="0.2">
      <c r="A19" t="s">
        <v>773</v>
      </c>
      <c r="B19" s="240">
        <f>+B18*0.6</f>
        <v>2515963.7999999998</v>
      </c>
      <c r="C19" s="240">
        <f>+C18*0.6</f>
        <v>1185078</v>
      </c>
    </row>
    <row r="20" spans="1:3" x14ac:dyDescent="0.2">
      <c r="A20" t="s">
        <v>774</v>
      </c>
      <c r="B20" s="273">
        <f>+B18-B19</f>
        <v>1677309.2000000002</v>
      </c>
      <c r="C20" s="240">
        <f>+C18*0.4</f>
        <v>790052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4193273</v>
      </c>
      <c r="C22" s="231">
        <f>SUM(C19:C21)</f>
        <v>1975130</v>
      </c>
    </row>
    <row r="23" spans="1:3" x14ac:dyDescent="0.2">
      <c r="B23" s="230"/>
      <c r="C23" s="230"/>
    </row>
    <row r="24" spans="1:3" x14ac:dyDescent="0.2">
      <c r="B24" s="276" t="s">
        <v>777</v>
      </c>
      <c r="C24" s="276"/>
    </row>
    <row r="25" spans="1:3" x14ac:dyDescent="0.2">
      <c r="A25" s="239" t="s">
        <v>782</v>
      </c>
      <c r="B25" s="274" t="s">
        <v>702</v>
      </c>
      <c r="C25" s="275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777</v>
      </c>
      <c r="C33" s="276"/>
    </row>
    <row r="34" spans="1:3" x14ac:dyDescent="0.2">
      <c r="A34" s="239" t="s">
        <v>783</v>
      </c>
      <c r="B34" s="274" t="s">
        <v>703</v>
      </c>
      <c r="C34" s="275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420383</v>
      </c>
      <c r="C36" s="235">
        <f>'DOE25'!G200+'DOE25'!G218+'DOE25'!G236+'DOE25'!G279+'DOE25'!G298+'DOE25'!G317</f>
        <v>109353</v>
      </c>
    </row>
    <row r="37" spans="1:3" x14ac:dyDescent="0.2">
      <c r="A37" t="s">
        <v>773</v>
      </c>
      <c r="B37" s="240">
        <f>+B36</f>
        <v>420383</v>
      </c>
      <c r="C37" s="240">
        <f>+C36</f>
        <v>109353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420383</v>
      </c>
      <c r="C40" s="231">
        <f>SUM(C37:C39)</f>
        <v>109353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C27" sqref="C2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784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711</v>
      </c>
      <c r="B2" s="265" t="str">
        <f>'DOE25'!A2</f>
        <v>MERRIMACK VALLEY REGIONAL SCHOOL DISTRICT</v>
      </c>
      <c r="C2" s="181"/>
      <c r="D2" s="181" t="s">
        <v>786</v>
      </c>
      <c r="E2" s="181" t="s">
        <v>788</v>
      </c>
      <c r="F2" s="278" t="s">
        <v>815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22575278</v>
      </c>
      <c r="D5" s="20">
        <f>SUM('DOE25'!L197:L200)+SUM('DOE25'!L215:L218)+SUM('DOE25'!L233:L236)-F5-G5</f>
        <v>22437162</v>
      </c>
      <c r="E5" s="243"/>
      <c r="F5" s="255">
        <f>SUM('DOE25'!J197:J200)+SUM('DOE25'!J215:J218)+SUM('DOE25'!J233:J236)</f>
        <v>131968</v>
      </c>
      <c r="G5" s="53">
        <f>SUM('DOE25'!K197:K200)+SUM('DOE25'!K215:K218)+SUM('DOE25'!K233:K236)</f>
        <v>6148</v>
      </c>
      <c r="H5" s="259"/>
    </row>
    <row r="6" spans="1:9" x14ac:dyDescent="0.2">
      <c r="A6" s="32">
        <v>2100</v>
      </c>
      <c r="B6" t="s">
        <v>795</v>
      </c>
      <c r="C6" s="245">
        <f t="shared" si="0"/>
        <v>4424155</v>
      </c>
      <c r="D6" s="20">
        <f>'DOE25'!L202+'DOE25'!L220+'DOE25'!L238-F6-G6</f>
        <v>4422565</v>
      </c>
      <c r="E6" s="243"/>
      <c r="F6" s="255">
        <f>'DOE25'!J202+'DOE25'!J220+'DOE25'!J238</f>
        <v>0</v>
      </c>
      <c r="G6" s="53">
        <f>'DOE25'!K202+'DOE25'!K220+'DOE25'!K238</f>
        <v>1590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1422010</v>
      </c>
      <c r="D7" s="20">
        <f>'DOE25'!L203+'DOE25'!L221+'DOE25'!L239-F7-G7</f>
        <v>1256246</v>
      </c>
      <c r="E7" s="243"/>
      <c r="F7" s="255">
        <f>'DOE25'!J203+'DOE25'!J221+'DOE25'!J239</f>
        <v>165744</v>
      </c>
      <c r="G7" s="53">
        <f>'DOE25'!K203+'DOE25'!K221+'DOE25'!K239</f>
        <v>20</v>
      </c>
      <c r="H7" s="259"/>
    </row>
    <row r="8" spans="1:9" x14ac:dyDescent="0.2">
      <c r="A8" s="32">
        <v>2300</v>
      </c>
      <c r="B8" t="s">
        <v>796</v>
      </c>
      <c r="C8" s="245">
        <f t="shared" si="0"/>
        <v>656806.35000000009</v>
      </c>
      <c r="D8" s="243"/>
      <c r="E8" s="20">
        <f>'DOE25'!L204+'DOE25'!L222+'DOE25'!L240-F8-G8-D9-D11</f>
        <v>651225.35000000009</v>
      </c>
      <c r="F8" s="255">
        <f>'DOE25'!J204+'DOE25'!J222+'DOE25'!J240</f>
        <v>0</v>
      </c>
      <c r="G8" s="53">
        <f>'DOE25'!K204+'DOE25'!K222+'DOE25'!K240</f>
        <v>5581</v>
      </c>
      <c r="H8" s="259"/>
    </row>
    <row r="9" spans="1:9" x14ac:dyDescent="0.2">
      <c r="A9" s="32">
        <v>2310</v>
      </c>
      <c r="B9" t="s">
        <v>812</v>
      </c>
      <c r="C9" s="245">
        <f t="shared" si="0"/>
        <v>23803.94</v>
      </c>
      <c r="D9" s="244">
        <v>23803.94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43414.19</v>
      </c>
      <c r="D10" s="243"/>
      <c r="E10" s="244">
        <v>43414.19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338015.71</v>
      </c>
      <c r="D11" s="244">
        <v>338015.71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2168685</v>
      </c>
      <c r="D12" s="20">
        <f>'DOE25'!L205+'DOE25'!L223+'DOE25'!L241-F12-G12</f>
        <v>2064898</v>
      </c>
      <c r="E12" s="243"/>
      <c r="F12" s="255">
        <f>'DOE25'!J205+'DOE25'!J223+'DOE25'!J241</f>
        <v>75855</v>
      </c>
      <c r="G12" s="53">
        <f>'DOE25'!K205+'DOE25'!K223+'DOE25'!K241</f>
        <v>27932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3590477</v>
      </c>
      <c r="D14" s="20">
        <f>'DOE25'!L207+'DOE25'!L225+'DOE25'!L243-F14-G14</f>
        <v>3505970</v>
      </c>
      <c r="E14" s="243"/>
      <c r="F14" s="255">
        <f>'DOE25'!J207+'DOE25'!J225+'DOE25'!J243</f>
        <v>84507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2019669</v>
      </c>
      <c r="D15" s="20">
        <f>'DOE25'!L208+'DOE25'!L226+'DOE25'!L244-F15-G15</f>
        <v>1954143</v>
      </c>
      <c r="E15" s="243"/>
      <c r="F15" s="255">
        <f>'DOE25'!J208+'DOE25'!J226+'DOE25'!J244</f>
        <v>64911</v>
      </c>
      <c r="G15" s="53">
        <f>'DOE25'!K208+'DOE25'!K226+'DOE25'!K244</f>
        <v>615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362263</v>
      </c>
      <c r="D22" s="243"/>
      <c r="E22" s="243"/>
      <c r="F22" s="255">
        <f>'DOE25'!L255+'DOE25'!L336</f>
        <v>362263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633421</v>
      </c>
      <c r="D29" s="20">
        <f>'DOE25'!L358+'DOE25'!L359+'DOE25'!L360-'DOE25'!I367-F29-G29</f>
        <v>633249</v>
      </c>
      <c r="E29" s="243"/>
      <c r="F29" s="255">
        <f>'DOE25'!J358+'DOE25'!J359+'DOE25'!J360</f>
        <v>0</v>
      </c>
      <c r="G29" s="53">
        <f>'DOE25'!K358+'DOE25'!K359+'DOE25'!K360</f>
        <v>172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1254266</v>
      </c>
      <c r="D31" s="20">
        <f>'DOE25'!L290+'DOE25'!L309+'DOE25'!L328+'DOE25'!L333+'DOE25'!L334+'DOE25'!L335-F31-G31</f>
        <v>1232450</v>
      </c>
      <c r="E31" s="243"/>
      <c r="F31" s="255">
        <f>'DOE25'!J290+'DOE25'!J309+'DOE25'!J328+'DOE25'!J333+'DOE25'!J334+'DOE25'!J335</f>
        <v>16259</v>
      </c>
      <c r="G31" s="53">
        <f>'DOE25'!K290+'DOE25'!K309+'DOE25'!K328+'DOE25'!K333+'DOE25'!K334+'DOE25'!K335</f>
        <v>5557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37868502.650000006</v>
      </c>
      <c r="E33" s="246">
        <f>SUM(E5:E31)</f>
        <v>694639.54</v>
      </c>
      <c r="F33" s="246">
        <f>SUM(F5:F31)</f>
        <v>901507</v>
      </c>
      <c r="G33" s="246">
        <f>SUM(G5:G31)</f>
        <v>47615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694639.54</v>
      </c>
      <c r="E35" s="249"/>
    </row>
    <row r="36" spans="2:8" ht="12" thickTop="1" x14ac:dyDescent="0.2">
      <c r="B36" t="s">
        <v>809</v>
      </c>
      <c r="D36" s="20">
        <f>D33</f>
        <v>37868502.650000006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6" activePane="bottomLeft" state="frozen"/>
      <selection activeCell="F46" sqref="F46"/>
      <selection pane="bottomLeft" activeCell="A2" sqref="A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">
        <v>912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2025312</v>
      </c>
      <c r="D8" s="95">
        <f>'DOE25'!G9</f>
        <v>25704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35308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307188</v>
      </c>
      <c r="D11" s="95">
        <f>'DOE25'!G12</f>
        <v>0</v>
      </c>
      <c r="E11" s="95">
        <f>'DOE25'!H12</f>
        <v>23072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38253</v>
      </c>
      <c r="E12" s="95">
        <f>'DOE25'!H13</f>
        <v>273646</v>
      </c>
      <c r="F12" s="95">
        <f>'DOE25'!I13</f>
        <v>0</v>
      </c>
      <c r="G12" s="95">
        <f>'DOE25'!J13</f>
        <v>598181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91169</v>
      </c>
      <c r="D13" s="95">
        <f>'DOE25'!G14</f>
        <v>3699</v>
      </c>
      <c r="E13" s="95">
        <f>'DOE25'!H14</f>
        <v>14370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9927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260000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2718977</v>
      </c>
      <c r="D18" s="41">
        <f>SUM(D8:D17)</f>
        <v>77583</v>
      </c>
      <c r="E18" s="41">
        <f>SUM(E8:E17)</f>
        <v>311088</v>
      </c>
      <c r="F18" s="41">
        <f>SUM(F8:F17)</f>
        <v>0</v>
      </c>
      <c r="G18" s="41">
        <f>SUM(G8:G17)</f>
        <v>598181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73726</v>
      </c>
      <c r="E21" s="95">
        <f>'DOE25'!H22</f>
        <v>256534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471195</v>
      </c>
      <c r="D23" s="95">
        <f>'DOE25'!G24</f>
        <v>3857</v>
      </c>
      <c r="E23" s="95">
        <f>'DOE25'!H24</f>
        <v>3390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1724455</v>
      </c>
      <c r="D27" s="95">
        <f>'DOE25'!G28</f>
        <v>0</v>
      </c>
      <c r="E27" s="95">
        <f>'DOE25'!H28</f>
        <v>36003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32110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75282</v>
      </c>
      <c r="D29" s="95">
        <f>'DOE25'!G30</f>
        <v>0</v>
      </c>
      <c r="E29" s="95">
        <f>'DOE25'!H30</f>
        <v>68922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2303042</v>
      </c>
      <c r="D31" s="41">
        <f>SUM(D21:D30)</f>
        <v>77583</v>
      </c>
      <c r="E31" s="41">
        <f>SUM(E21:E30)</f>
        <v>364849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9927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360000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-9927</v>
      </c>
      <c r="E47" s="95">
        <f>'DOE25'!H48</f>
        <v>-53761</v>
      </c>
      <c r="F47" s="95">
        <f>'DOE25'!I48</f>
        <v>0</v>
      </c>
      <c r="G47" s="95">
        <f>'DOE25'!J48</f>
        <v>598181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55935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415935</v>
      </c>
      <c r="D50" s="41">
        <f>SUM(D34:D49)</f>
        <v>0</v>
      </c>
      <c r="E50" s="41">
        <f>SUM(E34:E49)</f>
        <v>-53761</v>
      </c>
      <c r="F50" s="41">
        <f>SUM(F34:F49)</f>
        <v>0</v>
      </c>
      <c r="G50" s="41">
        <f>SUM(G34:G49)</f>
        <v>598181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2718977</v>
      </c>
      <c r="D51" s="41">
        <f>D50+D31</f>
        <v>77583</v>
      </c>
      <c r="E51" s="41">
        <f>E50+E31</f>
        <v>311088</v>
      </c>
      <c r="F51" s="41">
        <f>F50+F31</f>
        <v>0</v>
      </c>
      <c r="G51" s="41">
        <f>G50+G31</f>
        <v>598181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22921397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792049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460</v>
      </c>
      <c r="D59" s="95">
        <f>'DOE25'!G96</f>
        <v>12</v>
      </c>
      <c r="E59" s="95">
        <f>'DOE25'!H96</f>
        <v>0</v>
      </c>
      <c r="F59" s="95">
        <f>'DOE25'!I96</f>
        <v>0</v>
      </c>
      <c r="G59" s="95">
        <f>'DOE25'!J96</f>
        <v>12501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621410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60700</v>
      </c>
      <c r="D61" s="95">
        <f>SUM('DOE25'!G98:G110)</f>
        <v>21159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853209</v>
      </c>
      <c r="D62" s="130">
        <f>SUM(D57:D61)</f>
        <v>642581</v>
      </c>
      <c r="E62" s="130">
        <f>SUM(E57:E61)</f>
        <v>0</v>
      </c>
      <c r="F62" s="130">
        <f>SUM(F57:F61)</f>
        <v>0</v>
      </c>
      <c r="G62" s="130">
        <f>SUM(G57:G61)</f>
        <v>12501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23774606</v>
      </c>
      <c r="D63" s="22">
        <f>D56+D62</f>
        <v>642581</v>
      </c>
      <c r="E63" s="22">
        <f>E56+E62</f>
        <v>0</v>
      </c>
      <c r="F63" s="22">
        <f>F56+F62</f>
        <v>0</v>
      </c>
      <c r="G63" s="22">
        <f>G56+G62</f>
        <v>12501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9951634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3208443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59571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13219648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214252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22312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13811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236564</v>
      </c>
      <c r="D78" s="130">
        <f>SUM(D72:D77)</f>
        <v>13811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13456212</v>
      </c>
      <c r="D81" s="130">
        <f>SUM(D79:D80)+D78+D70</f>
        <v>13811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18571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462140</v>
      </c>
      <c r="D88" s="95">
        <f>SUM('DOE25'!G153:G161)</f>
        <v>384539</v>
      </c>
      <c r="E88" s="95">
        <f>SUM('DOE25'!H153:H161)</f>
        <v>1237357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462140</v>
      </c>
      <c r="D91" s="131">
        <f>SUM(D85:D90)</f>
        <v>384539</v>
      </c>
      <c r="E91" s="131">
        <f>SUM(E85:E90)</f>
        <v>1255928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86691</v>
      </c>
      <c r="E96" s="95">
        <f>'DOE25'!H179</f>
        <v>0</v>
      </c>
      <c r="F96" s="95">
        <f>'DOE25'!I179</f>
        <v>0</v>
      </c>
      <c r="G96" s="95">
        <f>'DOE25'!J179</f>
        <v>120000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86691</v>
      </c>
      <c r="E103" s="86">
        <f>SUM(E93:E102)</f>
        <v>0</v>
      </c>
      <c r="F103" s="86">
        <f>SUM(F93:F102)</f>
        <v>0</v>
      </c>
      <c r="G103" s="86">
        <f>SUM(G93:G102)</f>
        <v>120000</v>
      </c>
    </row>
    <row r="104" spans="1:7" ht="12.75" thickTop="1" thickBot="1" x14ac:dyDescent="0.25">
      <c r="A104" s="33" t="s">
        <v>759</v>
      </c>
      <c r="C104" s="86">
        <f>C63+C81+C91+C103</f>
        <v>37692958</v>
      </c>
      <c r="D104" s="86">
        <f>D63+D81+D91+D103</f>
        <v>1127622</v>
      </c>
      <c r="E104" s="86">
        <f>E63+E81+E91+E103</f>
        <v>1255928</v>
      </c>
      <c r="F104" s="86">
        <f>F63+F81+F91+F103</f>
        <v>0</v>
      </c>
      <c r="G104" s="86">
        <f>G63+G81+G103</f>
        <v>132501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14313852</v>
      </c>
      <c r="D109" s="24" t="s">
        <v>286</v>
      </c>
      <c r="E109" s="95">
        <f>('DOE25'!L276)+('DOE25'!L295)+('DOE25'!L314)</f>
        <v>463917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7355716</v>
      </c>
      <c r="D110" s="24" t="s">
        <v>286</v>
      </c>
      <c r="E110" s="95">
        <f>('DOE25'!L277)+('DOE25'!L296)+('DOE25'!L315)</f>
        <v>439070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278309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627401</v>
      </c>
      <c r="D112" s="24" t="s">
        <v>286</v>
      </c>
      <c r="E112" s="95">
        <f>+('DOE25'!L279)+('DOE25'!L298)+('DOE25'!L317)</f>
        <v>15840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4847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22575278</v>
      </c>
      <c r="D115" s="86">
        <f>SUM(D109:D114)</f>
        <v>0</v>
      </c>
      <c r="E115" s="86">
        <f>SUM(E109:E114)</f>
        <v>923674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4424155</v>
      </c>
      <c r="D118" s="24" t="s">
        <v>286</v>
      </c>
      <c r="E118" s="95">
        <f>+('DOE25'!L281)+('DOE25'!L300)+('DOE25'!L319)</f>
        <v>155606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1422010</v>
      </c>
      <c r="D119" s="24" t="s">
        <v>286</v>
      </c>
      <c r="E119" s="95">
        <f>+('DOE25'!L282)+('DOE25'!L301)+('DOE25'!L320)</f>
        <v>165806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1018626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2168685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5557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3590477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2019669</v>
      </c>
      <c r="D124" s="24" t="s">
        <v>286</v>
      </c>
      <c r="E124" s="95">
        <f>+('DOE25'!L287)+('DOE25'!L306)+('DOE25'!L325)</f>
        <v>3623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1094480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14643622</v>
      </c>
      <c r="D128" s="86">
        <f>SUM(D118:D127)</f>
        <v>1094480</v>
      </c>
      <c r="E128" s="86">
        <f>SUM(E118:E127)</f>
        <v>330592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362263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86691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132501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-12501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568954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37787854</v>
      </c>
      <c r="D145" s="86">
        <f>(D115+D128+D144)</f>
        <v>1094480</v>
      </c>
      <c r="E145" s="86">
        <f>(E115+E128+E144)</f>
        <v>1254266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734</v>
      </c>
      <c r="B1" s="282"/>
      <c r="C1" s="282"/>
      <c r="D1" s="282"/>
    </row>
    <row r="2" spans="1:4" x14ac:dyDescent="0.2">
      <c r="A2" s="187" t="s">
        <v>711</v>
      </c>
      <c r="B2" s="186" t="str">
        <f>'DOE25'!A2</f>
        <v>MERRIMACK VALLEY REGIONAL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13919</v>
      </c>
    </row>
    <row r="5" spans="1:4" x14ac:dyDescent="0.2">
      <c r="B5" t="s">
        <v>698</v>
      </c>
      <c r="C5" s="179">
        <f>IF('DOE25'!G665+'DOE25'!G670=0,0,ROUND('DOE25'!G672,0))</f>
        <v>14923</v>
      </c>
    </row>
    <row r="6" spans="1:4" x14ac:dyDescent="0.2">
      <c r="B6" t="s">
        <v>62</v>
      </c>
      <c r="C6" s="179">
        <f>IF('DOE25'!H665+'DOE25'!H670=0,0,ROUND('DOE25'!H672,0))</f>
        <v>15733</v>
      </c>
    </row>
    <row r="7" spans="1:4" x14ac:dyDescent="0.2">
      <c r="B7" t="s">
        <v>699</v>
      </c>
      <c r="C7" s="179">
        <f>IF('DOE25'!I665+'DOE25'!I670=0,0,ROUND('DOE25'!I672,0))</f>
        <v>14743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14777769</v>
      </c>
      <c r="D10" s="182">
        <f>ROUND((C10/$C$28)*100,1)</f>
        <v>38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7794786</v>
      </c>
      <c r="D11" s="182">
        <f>ROUND((C11/$C$28)*100,1)</f>
        <v>20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278309</v>
      </c>
      <c r="D12" s="182">
        <f>ROUND((C12/$C$28)*100,1)</f>
        <v>0.7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643241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4579761</v>
      </c>
      <c r="D15" s="182">
        <f t="shared" ref="D15:D27" si="0">ROUND((C15/$C$28)*100,1)</f>
        <v>11.8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1587816</v>
      </c>
      <c r="D16" s="182">
        <f t="shared" si="0"/>
        <v>4.0999999999999996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1018626</v>
      </c>
      <c r="D17" s="182">
        <f t="shared" si="0"/>
        <v>2.6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2168685</v>
      </c>
      <c r="D18" s="182">
        <f t="shared" si="0"/>
        <v>5.6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5557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3590477</v>
      </c>
      <c r="D20" s="182">
        <f t="shared" si="0"/>
        <v>9.1999999999999993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2023292</v>
      </c>
      <c r="D21" s="182">
        <f t="shared" si="0"/>
        <v>5.2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4847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451911</v>
      </c>
      <c r="D27" s="182">
        <f t="shared" si="0"/>
        <v>1.2</v>
      </c>
    </row>
    <row r="28" spans="1:4" x14ac:dyDescent="0.2">
      <c r="B28" s="187" t="s">
        <v>717</v>
      </c>
      <c r="C28" s="180">
        <f>SUM(C10:C27)</f>
        <v>38925077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362263</v>
      </c>
    </row>
    <row r="30" spans="1:4" x14ac:dyDescent="0.2">
      <c r="B30" s="187" t="s">
        <v>723</v>
      </c>
      <c r="C30" s="180">
        <f>SUM(C28:C29)</f>
        <v>39287340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22921397</v>
      </c>
      <c r="D35" s="182">
        <f t="shared" ref="D35:D40" si="1">ROUND((C35/$C$41)*100,1)</f>
        <v>58.2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865722</v>
      </c>
      <c r="D36" s="182">
        <f t="shared" si="1"/>
        <v>2.2000000000000002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13160077</v>
      </c>
      <c r="D37" s="182">
        <f t="shared" si="1"/>
        <v>33.4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309946</v>
      </c>
      <c r="D38" s="182">
        <f t="shared" si="1"/>
        <v>0.8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2102607</v>
      </c>
      <c r="D39" s="182">
        <f t="shared" si="1"/>
        <v>5.3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39359749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764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293" t="s">
        <v>761</v>
      </c>
      <c r="B2" s="294"/>
      <c r="C2" s="294"/>
      <c r="D2" s="294"/>
      <c r="E2" s="294"/>
      <c r="F2" s="299" t="str">
        <f>'DOE25'!A2</f>
        <v>MERRIMACK VALLEY REGIONAL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7" t="s">
        <v>765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842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970A" sheet="1" objects="1" scenarios="1"/>
  <mergeCells count="223">
    <mergeCell ref="IP40:IV40"/>
    <mergeCell ref="C45:M45"/>
    <mergeCell ref="IC40:IM40"/>
    <mergeCell ref="BP40:BZ40"/>
    <mergeCell ref="FC40:FM40"/>
    <mergeCell ref="FP40:FZ40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P40:Z40"/>
    <mergeCell ref="AC40:AM40"/>
    <mergeCell ref="CC40:CM40"/>
    <mergeCell ref="CP40:CZ40"/>
    <mergeCell ref="DC40:DM40"/>
    <mergeCell ref="EP40:EZ40"/>
    <mergeCell ref="P38:Z38"/>
    <mergeCell ref="AC38:AM38"/>
    <mergeCell ref="AP38:AZ38"/>
    <mergeCell ref="BP39:BZ39"/>
    <mergeCell ref="CC39:CM39"/>
    <mergeCell ref="CP39:CZ39"/>
    <mergeCell ref="IP39:IV39"/>
    <mergeCell ref="EP39:EZ39"/>
    <mergeCell ref="FC39:FM39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FP39:FZ39"/>
    <mergeCell ref="GP39:GZ39"/>
    <mergeCell ref="GP38:GZ38"/>
    <mergeCell ref="HC38:HM38"/>
    <mergeCell ref="HC39:HM39"/>
    <mergeCell ref="DC39:DM39"/>
    <mergeCell ref="DP39:DZ39"/>
    <mergeCell ref="EC39:EM39"/>
    <mergeCell ref="GC39:GM39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FC31:FM31"/>
    <mergeCell ref="FP31:FZ31"/>
    <mergeCell ref="GC31:GM31"/>
    <mergeCell ref="GP31:GZ31"/>
    <mergeCell ref="HC31:HM31"/>
    <mergeCell ref="DP32:DZ32"/>
    <mergeCell ref="EC32:EM32"/>
    <mergeCell ref="EP32:EZ32"/>
    <mergeCell ref="AP32:AZ32"/>
    <mergeCell ref="BP32:BZ32"/>
    <mergeCell ref="EP38:EZ38"/>
    <mergeCell ref="FC38:FM38"/>
    <mergeCell ref="FP38:FZ38"/>
    <mergeCell ref="GC38:GM38"/>
    <mergeCell ref="BP38:BZ38"/>
    <mergeCell ref="CC38:CM38"/>
    <mergeCell ref="DC38:DM38"/>
    <mergeCell ref="DP38:DZ38"/>
    <mergeCell ref="EC38:EM38"/>
    <mergeCell ref="CC32:CM32"/>
    <mergeCell ref="HP29:HZ29"/>
    <mergeCell ref="IC29:IM29"/>
    <mergeCell ref="FP29:FZ29"/>
    <mergeCell ref="GC29:GM29"/>
    <mergeCell ref="GP29:GZ29"/>
    <mergeCell ref="HC29:HM29"/>
    <mergeCell ref="GC32:GM32"/>
    <mergeCell ref="HC30:HM30"/>
    <mergeCell ref="FC32:FM32"/>
    <mergeCell ref="HC32:HM32"/>
    <mergeCell ref="HP32:HZ32"/>
    <mergeCell ref="HP31:HZ31"/>
    <mergeCell ref="DC31:DM31"/>
    <mergeCell ref="DP31:DZ31"/>
    <mergeCell ref="EC31:EM31"/>
    <mergeCell ref="EP31:EZ31"/>
    <mergeCell ref="GP32:GZ32"/>
    <mergeCell ref="IC30:IM30"/>
    <mergeCell ref="HP30:HZ30"/>
    <mergeCell ref="FC30:FM30"/>
    <mergeCell ref="FP30:FZ30"/>
    <mergeCell ref="DC30:DM30"/>
    <mergeCell ref="DP30:DZ30"/>
    <mergeCell ref="DC32:DM32"/>
    <mergeCell ref="EC30:EM30"/>
    <mergeCell ref="EP30:EZ30"/>
    <mergeCell ref="C14:M14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DP29:DZ29"/>
    <mergeCell ref="DC29:DM29"/>
    <mergeCell ref="IP29:IV29"/>
    <mergeCell ref="P30:Z30"/>
    <mergeCell ref="AC30:AM30"/>
    <mergeCell ref="AP30:AZ30"/>
    <mergeCell ref="GC30:GM30"/>
    <mergeCell ref="GP30:GZ30"/>
    <mergeCell ref="IP30:IV30"/>
    <mergeCell ref="AC32:AM32"/>
    <mergeCell ref="IC32:IM32"/>
    <mergeCell ref="IP32:IV32"/>
    <mergeCell ref="CC30:CM30"/>
    <mergeCell ref="BC30:BM30"/>
    <mergeCell ref="BP30:BZ30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BC29:BM29"/>
    <mergeCell ref="BP29:BZ29"/>
    <mergeCell ref="CC29:CM29"/>
    <mergeCell ref="P31:Z31"/>
    <mergeCell ref="AC31:AM31"/>
    <mergeCell ref="AP31:AZ31"/>
    <mergeCell ref="P32:Z32"/>
    <mergeCell ref="C15:M15"/>
    <mergeCell ref="C16:M16"/>
    <mergeCell ref="C17:M17"/>
    <mergeCell ref="C18:M18"/>
    <mergeCell ref="C19:M19"/>
    <mergeCell ref="C20:M20"/>
    <mergeCell ref="P29:Z29"/>
    <mergeCell ref="AC29:AM29"/>
    <mergeCell ref="C21:M21"/>
    <mergeCell ref="C22:M22"/>
    <mergeCell ref="C23:M23"/>
    <mergeCell ref="C24:M24"/>
    <mergeCell ref="C29:M29"/>
    <mergeCell ref="C25:M25"/>
    <mergeCell ref="C26:M26"/>
    <mergeCell ref="C27:M27"/>
    <mergeCell ref="AP29:AZ29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39:M39"/>
    <mergeCell ref="C40:M40"/>
    <mergeCell ref="C32:M32"/>
    <mergeCell ref="C30:M30"/>
    <mergeCell ref="C31:M31"/>
    <mergeCell ref="C42:M42"/>
    <mergeCell ref="C41:M41"/>
    <mergeCell ref="C33:M33"/>
    <mergeCell ref="C37:M37"/>
    <mergeCell ref="C46:M46"/>
    <mergeCell ref="C90:M90"/>
    <mergeCell ref="C83:M83"/>
    <mergeCell ref="C84:M84"/>
    <mergeCell ref="C85:M85"/>
    <mergeCell ref="C86:M86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77:M77"/>
    <mergeCell ref="C78:M78"/>
    <mergeCell ref="C79:M79"/>
    <mergeCell ref="C80:M80"/>
    <mergeCell ref="C81:M81"/>
    <mergeCell ref="C82:M82"/>
    <mergeCell ref="C87:M87"/>
    <mergeCell ref="C88:M88"/>
    <mergeCell ref="C89:M89"/>
    <mergeCell ref="C61:M61"/>
    <mergeCell ref="C53:M53"/>
    <mergeCell ref="C54:M54"/>
    <mergeCell ref="C55:M55"/>
    <mergeCell ref="C75:M75"/>
    <mergeCell ref="C67:M67"/>
    <mergeCell ref="C68:M68"/>
    <mergeCell ref="C69:M69"/>
    <mergeCell ref="C76:M76"/>
    <mergeCell ref="C66:M66"/>
    <mergeCell ref="C70:M70"/>
    <mergeCell ref="A72:E72"/>
    <mergeCell ref="C73:M73"/>
    <mergeCell ref="C74:M7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2018-10-04T12:14:38Z</cp:lastPrinted>
  <dcterms:created xsi:type="dcterms:W3CDTF">1997-12-04T19:04:30Z</dcterms:created>
  <dcterms:modified xsi:type="dcterms:W3CDTF">2018-12-03T19:45:08Z</dcterms:modified>
</cp:coreProperties>
</file>