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H25" i="13" s="1"/>
  <c r="C25" i="13" s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L250" i="1"/>
  <c r="L332" i="1"/>
  <c r="L254" i="1"/>
  <c r="C124" i="2" s="1"/>
  <c r="C25" i="10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3" i="2"/>
  <c r="E113" i="2"/>
  <c r="E114" i="2"/>
  <c r="D115" i="2"/>
  <c r="F115" i="2"/>
  <c r="G115" i="2"/>
  <c r="E118" i="2"/>
  <c r="E122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I452" i="1"/>
  <c r="F460" i="1"/>
  <c r="G460" i="1"/>
  <c r="H460" i="1"/>
  <c r="I460" i="1"/>
  <c r="F461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3" i="1"/>
  <c r="G644" i="1"/>
  <c r="G645" i="1"/>
  <c r="G649" i="1"/>
  <c r="G650" i="1"/>
  <c r="G651" i="1"/>
  <c r="G652" i="1"/>
  <c r="H652" i="1"/>
  <c r="G653" i="1"/>
  <c r="H653" i="1"/>
  <c r="G654" i="1"/>
  <c r="H654" i="1"/>
  <c r="H655" i="1"/>
  <c r="J655" i="1" s="1"/>
  <c r="C18" i="2"/>
  <c r="L328" i="1"/>
  <c r="D62" i="2"/>
  <c r="D18" i="13"/>
  <c r="C18" i="13" s="1"/>
  <c r="D18" i="2"/>
  <c r="E8" i="13"/>
  <c r="C8" i="13" s="1"/>
  <c r="F78" i="2"/>
  <c r="F81" i="2" s="1"/>
  <c r="G157" i="2"/>
  <c r="E62" i="2"/>
  <c r="G62" i="2"/>
  <c r="E13" i="13"/>
  <c r="C13" i="13" s="1"/>
  <c r="L433" i="1"/>
  <c r="I169" i="1"/>
  <c r="H476" i="1"/>
  <c r="H624" i="1" s="1"/>
  <c r="F476" i="1"/>
  <c r="H622" i="1" s="1"/>
  <c r="G476" i="1"/>
  <c r="H623" i="1" s="1"/>
  <c r="F169" i="1"/>
  <c r="J140" i="1"/>
  <c r="G22" i="2"/>
  <c r="J552" i="1"/>
  <c r="H140" i="1"/>
  <c r="F22" i="13"/>
  <c r="C22" i="13" s="1"/>
  <c r="L309" i="1"/>
  <c r="L570" i="1"/>
  <c r="C70" i="2" l="1"/>
  <c r="A13" i="12"/>
  <c r="J622" i="1"/>
  <c r="L614" i="1"/>
  <c r="K605" i="1"/>
  <c r="G648" i="1" s="1"/>
  <c r="J649" i="1"/>
  <c r="K598" i="1"/>
  <c r="G647" i="1" s="1"/>
  <c r="J647" i="1" s="1"/>
  <c r="I571" i="1"/>
  <c r="F571" i="1"/>
  <c r="K571" i="1"/>
  <c r="J571" i="1"/>
  <c r="H571" i="1"/>
  <c r="L560" i="1"/>
  <c r="K545" i="1"/>
  <c r="L544" i="1"/>
  <c r="I552" i="1"/>
  <c r="L539" i="1"/>
  <c r="H552" i="1"/>
  <c r="K551" i="1"/>
  <c r="L534" i="1"/>
  <c r="H545" i="1"/>
  <c r="G545" i="1"/>
  <c r="I545" i="1"/>
  <c r="G552" i="1"/>
  <c r="K550" i="1"/>
  <c r="J545" i="1"/>
  <c r="K549" i="1"/>
  <c r="L529" i="1"/>
  <c r="F552" i="1"/>
  <c r="K500" i="1"/>
  <c r="H461" i="1"/>
  <c r="H641" i="1" s="1"/>
  <c r="J641" i="1" s="1"/>
  <c r="G461" i="1"/>
  <c r="H640" i="1" s="1"/>
  <c r="J640" i="1" s="1"/>
  <c r="I461" i="1"/>
  <c r="H642" i="1" s="1"/>
  <c r="J639" i="1"/>
  <c r="I446" i="1"/>
  <c r="G642" i="1" s="1"/>
  <c r="L401" i="1"/>
  <c r="C139" i="2" s="1"/>
  <c r="I408" i="1"/>
  <c r="G408" i="1"/>
  <c r="H645" i="1" s="1"/>
  <c r="J645" i="1" s="1"/>
  <c r="F408" i="1"/>
  <c r="H643" i="1" s="1"/>
  <c r="J643" i="1" s="1"/>
  <c r="L393" i="1"/>
  <c r="C138" i="2" s="1"/>
  <c r="F130" i="2"/>
  <c r="F144" i="2" s="1"/>
  <c r="F145" i="2" s="1"/>
  <c r="D31" i="2"/>
  <c r="C29" i="10"/>
  <c r="L382" i="1"/>
  <c r="G636" i="1" s="1"/>
  <c r="J636" i="1" s="1"/>
  <c r="J634" i="1"/>
  <c r="F661" i="1"/>
  <c r="D127" i="2"/>
  <c r="D128" i="2" s="1"/>
  <c r="D145" i="2" s="1"/>
  <c r="H661" i="1"/>
  <c r="D29" i="13"/>
  <c r="C29" i="13" s="1"/>
  <c r="G661" i="1"/>
  <c r="L362" i="1"/>
  <c r="G635" i="1" s="1"/>
  <c r="J635" i="1" s="1"/>
  <c r="L351" i="1"/>
  <c r="H33" i="13"/>
  <c r="E124" i="2"/>
  <c r="H662" i="1"/>
  <c r="E123" i="2"/>
  <c r="C10" i="10"/>
  <c r="E125" i="2"/>
  <c r="E121" i="2"/>
  <c r="E120" i="2"/>
  <c r="E119" i="2"/>
  <c r="E112" i="2"/>
  <c r="C12" i="10"/>
  <c r="H338" i="1"/>
  <c r="H352" i="1" s="1"/>
  <c r="G338" i="1"/>
  <c r="G352" i="1" s="1"/>
  <c r="F338" i="1"/>
  <c r="F352" i="1" s="1"/>
  <c r="K338" i="1"/>
  <c r="K352" i="1" s="1"/>
  <c r="E128" i="2"/>
  <c r="E111" i="2"/>
  <c r="L290" i="1"/>
  <c r="J338" i="1"/>
  <c r="J352" i="1" s="1"/>
  <c r="C26" i="10"/>
  <c r="D19" i="13"/>
  <c r="C19" i="13" s="1"/>
  <c r="C114" i="2"/>
  <c r="L256" i="1"/>
  <c r="D17" i="13"/>
  <c r="C17" i="13" s="1"/>
  <c r="H647" i="1"/>
  <c r="C20" i="10"/>
  <c r="C19" i="10"/>
  <c r="D6" i="13"/>
  <c r="C6" i="13" s="1"/>
  <c r="C118" i="2"/>
  <c r="C13" i="10"/>
  <c r="L247" i="1"/>
  <c r="H660" i="1" s="1"/>
  <c r="C109" i="2"/>
  <c r="G662" i="1"/>
  <c r="C21" i="10"/>
  <c r="C122" i="2"/>
  <c r="C18" i="10"/>
  <c r="C120" i="2"/>
  <c r="C17" i="10"/>
  <c r="C119" i="2"/>
  <c r="K257" i="1"/>
  <c r="K271" i="1" s="1"/>
  <c r="L229" i="1"/>
  <c r="G660" i="1" s="1"/>
  <c r="C112" i="2"/>
  <c r="H257" i="1"/>
  <c r="H271" i="1" s="1"/>
  <c r="G257" i="1"/>
  <c r="G271" i="1" s="1"/>
  <c r="A31" i="12"/>
  <c r="C111" i="2"/>
  <c r="C11" i="10"/>
  <c r="J257" i="1"/>
  <c r="J271" i="1" s="1"/>
  <c r="I257" i="1"/>
  <c r="I271" i="1" s="1"/>
  <c r="F257" i="1"/>
  <c r="F271" i="1" s="1"/>
  <c r="E16" i="13"/>
  <c r="C16" i="13" s="1"/>
  <c r="C125" i="2"/>
  <c r="D15" i="13"/>
  <c r="C15" i="13" s="1"/>
  <c r="C123" i="2"/>
  <c r="D14" i="13"/>
  <c r="C14" i="13" s="1"/>
  <c r="D12" i="13"/>
  <c r="C12" i="13" s="1"/>
  <c r="C121" i="2"/>
  <c r="D7" i="13"/>
  <c r="C7" i="13" s="1"/>
  <c r="C16" i="10"/>
  <c r="A40" i="12"/>
  <c r="L211" i="1"/>
  <c r="D5" i="13"/>
  <c r="C5" i="13" s="1"/>
  <c r="E103" i="2"/>
  <c r="H169" i="1"/>
  <c r="E78" i="2"/>
  <c r="E81" i="2" s="1"/>
  <c r="H112" i="1"/>
  <c r="E63" i="2"/>
  <c r="G192" i="1"/>
  <c r="D91" i="2"/>
  <c r="C35" i="10"/>
  <c r="G112" i="1"/>
  <c r="D63" i="2"/>
  <c r="F192" i="1"/>
  <c r="C91" i="2"/>
  <c r="C78" i="2"/>
  <c r="F112" i="1"/>
  <c r="C62" i="2"/>
  <c r="C63" i="2" s="1"/>
  <c r="J624" i="1"/>
  <c r="E31" i="2"/>
  <c r="H52" i="1"/>
  <c r="H619" i="1" s="1"/>
  <c r="J619" i="1" s="1"/>
  <c r="G625" i="1"/>
  <c r="J625" i="1" s="1"/>
  <c r="F18" i="2"/>
  <c r="J623" i="1"/>
  <c r="D50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I140" i="1"/>
  <c r="A22" i="12"/>
  <c r="G50" i="2"/>
  <c r="J652" i="1"/>
  <c r="G571" i="1"/>
  <c r="I434" i="1"/>
  <c r="G434" i="1"/>
  <c r="I663" i="1"/>
  <c r="C27" i="10"/>
  <c r="C81" i="2" l="1"/>
  <c r="L545" i="1"/>
  <c r="K552" i="1"/>
  <c r="J642" i="1"/>
  <c r="G51" i="2"/>
  <c r="L408" i="1"/>
  <c r="G637" i="1" s="1"/>
  <c r="J637" i="1" s="1"/>
  <c r="C141" i="2"/>
  <c r="C144" i="2" s="1"/>
  <c r="D51" i="2"/>
  <c r="G664" i="1"/>
  <c r="G667" i="1" s="1"/>
  <c r="H664" i="1"/>
  <c r="H667" i="1" s="1"/>
  <c r="I661" i="1"/>
  <c r="L338" i="1"/>
  <c r="L352" i="1" s="1"/>
  <c r="G633" i="1" s="1"/>
  <c r="J633" i="1" s="1"/>
  <c r="I662" i="1"/>
  <c r="E115" i="2"/>
  <c r="E145" i="2" s="1"/>
  <c r="D31" i="13"/>
  <c r="C31" i="13" s="1"/>
  <c r="C115" i="2"/>
  <c r="E33" i="13"/>
  <c r="D35" i="13" s="1"/>
  <c r="L257" i="1"/>
  <c r="L271" i="1" s="1"/>
  <c r="G632" i="1" s="1"/>
  <c r="J632" i="1" s="1"/>
  <c r="H648" i="1"/>
  <c r="J648" i="1" s="1"/>
  <c r="C128" i="2"/>
  <c r="C28" i="10"/>
  <c r="D24" i="10" s="1"/>
  <c r="F660" i="1"/>
  <c r="I660" i="1" s="1"/>
  <c r="G104" i="2"/>
  <c r="F104" i="2"/>
  <c r="I193" i="1"/>
  <c r="G630" i="1" s="1"/>
  <c r="J630" i="1" s="1"/>
  <c r="C39" i="10"/>
  <c r="E104" i="2"/>
  <c r="C36" i="10"/>
  <c r="D104" i="2"/>
  <c r="F193" i="1"/>
  <c r="G627" i="1" s="1"/>
  <c r="J627" i="1" s="1"/>
  <c r="C104" i="2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46" i="1"/>
  <c r="J646" i="1" s="1"/>
  <c r="H672" i="1"/>
  <c r="C6" i="10" s="1"/>
  <c r="I664" i="1"/>
  <c r="I672" i="1" s="1"/>
  <c r="C7" i="10" s="1"/>
  <c r="D33" i="13"/>
  <c r="D36" i="13" s="1"/>
  <c r="C145" i="2"/>
  <c r="D20" i="10"/>
  <c r="D23" i="10"/>
  <c r="D15" i="10"/>
  <c r="C30" i="10"/>
  <c r="D21" i="10"/>
  <c r="D13" i="10"/>
  <c r="D16" i="10"/>
  <c r="D10" i="10"/>
  <c r="D11" i="10"/>
  <c r="D19" i="10"/>
  <c r="D26" i="10"/>
  <c r="D25" i="10"/>
  <c r="D22" i="10"/>
  <c r="D27" i="10"/>
  <c r="D18" i="10"/>
  <c r="D17" i="10"/>
  <c r="D12" i="10"/>
  <c r="F664" i="1"/>
  <c r="F672" i="1" s="1"/>
  <c r="C4" i="10" s="1"/>
  <c r="C41" i="10"/>
  <c r="D38" i="10" s="1"/>
  <c r="H656" i="1" l="1"/>
  <c r="I667" i="1"/>
  <c r="D28" i="10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<sst xmlns="http://schemas.openxmlformats.org/spreadsheetml/2006/main" count="3959" uniqueCount="915">
  <si>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</si>
  <si>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</si>
  <si>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</si>
  <si>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</si>
  <si>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</si>
  <si>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</si>
  <si>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</si>
  <si>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</si>
  <si>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</si>
  <si>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</si>
  <si>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</si>
  <si>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</si>
  <si>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</si>
  <si>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</si>
  <si>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</si>
  <si>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</si>
  <si>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</si>
  <si>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</si>
  <si>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</si>
  <si>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</si>
  <si>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</si>
  <si>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</si>
  <si>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</si>
  <si>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</si>
  <si>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</si>
  <si>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</si>
  <si>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</si>
  <si>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</si>
  <si>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</si>
  <si>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</si>
  <si>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</si>
  <si>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</si>
  <si>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</si>
  <si>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</si>
  <si>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</si>
  <si>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</si>
  <si>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</si>
  <si>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</si>
  <si>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</si>
  <si>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</si>
  <si>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</si>
  <si>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</si>
  <si>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</si>
  <si>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</si>
  <si>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</si>
  <si>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</si>
  <si>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</si>
  <si>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</si>
  <si>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</si>
  <si>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</si>
  <si>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</si>
  <si>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</si>
  <si>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</si>
  <si>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</si>
  <si>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</si>
  <si>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</si>
  <si>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</si>
  <si>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</si>
  <si>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</si>
  <si>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</si>
  <si>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</si>
  <si>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</si>
  <si>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</si>
  <si>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</si>
  <si>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</si>
  <si>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</si>
  <si>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</si>
  <si>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</si>
  <si>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</si>
  <si>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</si>
  <si>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</si>
  <si>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</si>
  <si>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</si>
  <si>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</si>
  <si>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</si>
  <si>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</si>
  <si>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</si>
  <si>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</si>
  <si>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</si>
  <si>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</si>
  <si>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</si>
  <si>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</si>
  <si>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</si>
  <si>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</si>
  <si>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</si>
  <si>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</si>
  <si>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</si>
  <si>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</si>
  <si>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</si>
  <si>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</si>
  <si>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</si>
  <si>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</si>
  <si>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</si>
  <si>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</si>
  <si>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</si>
  <si>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</si>
  <si>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</si>
  <si>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</si>
  <si>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</si>
  <si>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</si>
  <si>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</si>
  <si>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</si>
  <si>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</si>
  <si>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</si>
  <si>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</si>
  <si>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</si>
  <si>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</si>
  <si>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</si>
  <si>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</si>
  <si>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</si>
  <si>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</si>
  <si>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</si>
  <si>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</si>
  <si>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</si>
  <si>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</si>
  <si>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</si>
  <si>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</si>
  <si>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</si>
  <si>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</si>
  <si>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</si>
  <si>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</si>
  <si>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</si>
  <si>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</si>
  <si>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</si>
  <si>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</si>
  <si>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</si>
  <si>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</si>
  <si>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</si>
  <si>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</si>
  <si>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</si>
  <si>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</si>
  <si>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</si>
  <si>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</si>
  <si>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</si>
  <si>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</si>
  <si>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</si>
  <si>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</si>
  <si>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</si>
  <si>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</si>
  <si>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</si>
  <si>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</si>
  <si>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</si>
  <si>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</si>
  <si>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</si>
  <si>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</si>
  <si>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</si>
  <si>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</si>
  <si>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</si>
  <si>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</si>
  <si>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</si>
  <si>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</si>
  <si>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</si>
  <si>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</si>
  <si>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</si>
  <si>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</si>
  <si>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</si>
  <si>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</si>
  <si>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</si>
  <si>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</si>
  <si>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</si>
  <si>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</si>
  <si>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</si>
  <si>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</si>
  <si>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</si>
  <si>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</si>
  <si>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</si>
  <si>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</si>
  <si>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</si>
  <si>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</si>
  <si>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</si>
  <si>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</si>
  <si>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</si>
  <si>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</si>
  <si>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</si>
  <si>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</si>
  <si>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</si>
  <si>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</si>
  <si>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</si>
  <si>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</si>
  <si>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</si>
  <si>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</si>
  <si>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</si>
  <si>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</si>
  <si>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</si>
  <si>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</si>
  <si>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</si>
  <si>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</si>
  <si>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</si>
  <si>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</si>
  <si>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</si>
  <si>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</si>
  <si>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</si>
  <si>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</si>
  <si>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</si>
  <si>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</si>
  <si>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</si>
  <si>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</si>
  <si>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</si>
  <si>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</si>
  <si>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</si>
  <si>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</si>
  <si>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</si>
  <si>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</si>
  <si>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</si>
  <si>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</si>
  <si>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</si>
  <si>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</si>
  <si>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</si>
  <si>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</si>
  <si>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</si>
  <si>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</si>
  <si>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</si>
  <si>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</si>
  <si>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</si>
  <si>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</si>
  <si>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</si>
  <si>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</si>
  <si>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</si>
  <si>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</si>
  <si>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</si>
  <si>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</si>
  <si>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</si>
  <si>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</si>
  <si>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</si>
  <si>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</si>
  <si>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</si>
  <si>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</si>
  <si>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</si>
  <si>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</si>
  <si>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</si>
  <si>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</si>
  <si>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</si>
  <si>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</si>
  <si>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</si>
  <si>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</si>
  <si>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</si>
  <si>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</si>
  <si>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</si>
  <si>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</si>
  <si>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</si>
  <si>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</si>
  <si>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</si>
  <si>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</si>
  <si>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</si>
  <si>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</si>
  <si>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</si>
  <si>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</si>
  <si>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</si>
  <si>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</si>
  <si>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</si>
  <si>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</si>
  <si>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</si>
  <si>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</si>
  <si>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</si>
  <si>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</si>
  <si>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</si>
  <si>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</si>
  <si>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</si>
  <si>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</si>
  <si>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</si>
  <si>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</si>
  <si>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</si>
  <si>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</si>
  <si>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</si>
  <si>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</si>
  <si>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</si>
  <si>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</si>
  <si>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</si>
  <si>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</si>
  <si>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</si>
  <si>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</si>
  <si>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</si>
  <si>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</si>
  <si>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</si>
  <si>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</si>
  <si>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</si>
  <si>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</si>
  <si>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</si>
  <si>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</si>
  <si>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</si>
  <si>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</si>
  <si>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</si>
  <si>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</si>
  <si>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</si>
  <si>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</si>
  <si>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</si>
  <si>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</si>
  <si>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</si>
  <si>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</si>
  <si>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</si>
  <si>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</si>
  <si>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</si>
  <si>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</si>
  <si>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</si>
  <si>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</si>
  <si>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</si>
  <si>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</si>
  <si>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</si>
  <si>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</si>
  <si>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</si>
  <si>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</si>
  <si>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</si>
  <si>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</si>
  <si>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</si>
  <si>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</si>
  <si>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</si>
  <si>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</si>
  <si>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</si>
  <si>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</si>
  <si>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</si>
  <si>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</si>
  <si>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</si>
  <si>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</si>
  <si>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</si>
  <si>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</si>
  <si>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</si>
  <si>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</si>
  <si>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</si>
  <si>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</si>
  <si>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</si>
  <si>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</si>
  <si>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</si>
  <si>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</si>
  <si>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</si>
  <si>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</si>
  <si>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</si>
  <si>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</si>
  <si>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</si>
  <si>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</si>
  <si>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</si>
  <si>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</si>
  <si>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</si>
  <si>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</si>
  <si>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</si>
  <si>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</si>
  <si>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</si>
  <si>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</si>
  <si>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</si>
  <si>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</si>
  <si>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</si>
  <si>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</si>
  <si>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</si>
  <si>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</si>
  <si>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</si>
  <si>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</si>
  <si>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</si>
  <si>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</si>
  <si>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</si>
  <si>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</si>
  <si>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</si>
  <si>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</si>
  <si>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</si>
  <si>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</si>
  <si>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</si>
  <si>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</si>
  <si>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</si>
  <si>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</si>
  <si>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</si>
  <si>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</si>
  <si>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</si>
  <si>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</si>
  <si>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</si>
  <si>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</si>
  <si>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</si>
  <si>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</si>
  <si>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</si>
  <si>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</si>
  <si>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</si>
  <si>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</si>
  <si>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</si>
  <si>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</si>
  <si>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</si>
  <si>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</si>
  <si>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</si>
  <si>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</si>
  <si>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</si>
  <si>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</si>
  <si>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</si>
  <si>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</si>
  <si>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</si>
  <si>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</si>
  <si>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</si>
  <si>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</si>
  <si>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</si>
  <si>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</si>
  <si>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</si>
  <si>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</si>
  <si>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</si>
  <si>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</si>
  <si>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</si>
  <si>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</si>
  <si>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</si>
  <si>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</si>
  <si>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</si>
  <si>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</si>
  <si>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</si>
  <si>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</si>
  <si>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</si>
  <si>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</si>
  <si>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</si>
  <si>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</si>
  <si>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</si>
  <si>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</si>
  <si>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</si>
  <si>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</si>
  <si>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</si>
  <si>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</si>
  <si>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</si>
  <si>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</si>
  <si>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</si>
  <si>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</si>
  <si>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</si>
  <si>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</si>
  <si>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</si>
  <si>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</si>
  <si>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</si>
  <si>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</si>
  <si>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</si>
  <si>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</si>
  <si>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</si>
  <si>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</si>
  <si>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</si>
  <si>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</si>
  <si>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</si>
  <si>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</si>
  <si>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</si>
  <si>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</si>
  <si>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</si>
  <si>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</si>
  <si>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</si>
  <si>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</si>
  <si>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</si>
  <si>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</si>
  <si>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</si>
  <si>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</si>
  <si>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</si>
  <si>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</si>
  <si>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</si>
  <si>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</si>
  <si>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</si>
  <si>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</si>
  <si>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</si>
  <si>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</si>
  <si>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</si>
  <si>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</si>
  <si>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</si>
  <si>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</si>
  <si>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</si>
  <si>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</si>
  <si>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</si>
  <si>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</si>
  <si>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</si>
  <si>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</si>
  <si>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</si>
  <si>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</si>
  <si>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</si>
  <si>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</si>
  <si>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</si>
  <si>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</si>
  <si>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</si>
  <si>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</si>
  <si>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</si>
  <si>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</si>
  <si>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</si>
  <si>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</si>
  <si>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</si>
  <si>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</si>
  <si>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</si>
  <si>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</si>
  <si>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</si>
  <si>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</si>
  <si>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</si>
  <si>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</si>
  <si>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</si>
  <si>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</si>
  <si>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</si>
  <si>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</si>
  <si>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</si>
  <si>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</si>
  <si>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</si>
  <si>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</si>
  <si>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</si>
  <si>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</si>
  <si>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</si>
  <si>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</si>
  <si>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</si>
  <si>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</si>
  <si>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</si>
  <si>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</si>
  <si>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</si>
  <si>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</si>
  <si>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</si>
  <si>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</si>
  <si>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</si>
  <si>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</si>
  <si>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</si>
  <si>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</si>
  <si>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</si>
  <si>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</si>
  <si>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</si>
  <si>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</si>
  <si>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</si>
  <si>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</si>
  <si>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</si>
  <si>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</si>
  <si>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</si>
  <si>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</si>
  <si>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</si>
  <si>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</si>
  <si>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</si>
  <si>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</si>
  <si>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</si>
  <si>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</si>
  <si>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</si>
  <si>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</si>
  <si>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</si>
  <si>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</si>
  <si>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</si>
  <si>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</si>
  <si>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</si>
  <si>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</si>
  <si>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</si>
  <si>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</si>
  <si>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</si>
  <si>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</si>
  <si>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</si>
  <si>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</si>
  <si>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</si>
  <si>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</si>
  <si>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</si>
  <si>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</si>
  <si>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</si>
  <si>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</si>
  <si>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</si>
  <si>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</si>
  <si>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</si>
  <si>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</si>
  <si>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</si>
  <si>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</si>
  <si>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</si>
  <si>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</si>
  <si>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</si>
  <si>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</si>
  <si>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</si>
  <si>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</si>
  <si>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</si>
  <si>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</si>
  <si>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</si>
  <si>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</si>
  <si>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</si>
  <si>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</si>
  <si>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</si>
  <si>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</si>
  <si>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</si>
  <si>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</si>
  <si>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</si>
  <si>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</si>
  <si>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</si>
  <si>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</si>
  <si>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</si>
  <si>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</si>
  <si>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</si>
  <si>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</si>
  <si>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</si>
  <si>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</si>
  <si>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</si>
  <si>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</si>
  <si>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</si>
  <si>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</si>
  <si>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</si>
  <si>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</si>
  <si>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</si>
  <si>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</si>
  <si>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</si>
  <si>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</si>
  <si>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</si>
  <si>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</si>
  <si>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</si>
  <si>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</si>
  <si>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</si>
  <si>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</si>
  <si>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</si>
  <si>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</si>
  <si>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</si>
  <si>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</si>
  <si>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</si>
  <si>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</si>
  <si>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</si>
  <si>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</si>
  <si>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</si>
  <si>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</si>
  <si>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</si>
  <si>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</si>
  <si>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</si>
  <si>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</si>
  <si>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</si>
  <si>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</si>
  <si>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</si>
  <si>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</si>
  <si>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</si>
  <si>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</si>
  <si>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</si>
  <si>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</si>
  <si>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</si>
  <si>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</si>
  <si>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</si>
  <si>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</si>
  <si>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</si>
  <si>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</si>
  <si>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</si>
  <si>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</si>
  <si>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</si>
  <si>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</si>
  <si>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</si>
  <si>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</si>
  <si>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</si>
  <si>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</si>
  <si>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</si>
  <si>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</si>
  <si>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</si>
  <si>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</si>
  <si>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</si>
  <si>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</si>
  <si>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</si>
  <si>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</si>
  <si>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</si>
  <si>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</si>
  <si>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</si>
  <si>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</si>
  <si>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</si>
  <si>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</si>
  <si>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</si>
  <si>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</si>
  <si>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</si>
  <si>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</si>
  <si>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</si>
  <si>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</si>
  <si>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</si>
  <si>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</si>
  <si>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</si>
  <si>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</si>
  <si>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</si>
  <si>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</si>
  <si>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</si>
  <si>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</si>
  <si>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</si>
  <si>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</si>
  <si>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</si>
  <si>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</si>
  <si>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</si>
  <si>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</si>
  <si>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</si>
  <si>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</si>
  <si>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</si>
  <si>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</si>
  <si>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</si>
  <si>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</si>
  <si>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</si>
  <si>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</si>
  <si>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</si>
  <si>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</si>
  <si>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</si>
  <si>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</si>
  <si>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</si>
  <si>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</si>
  <si>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</si>
  <si>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</si>
  <si>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</si>
  <si>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</si>
  <si>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</si>
  <si>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</si>
  <si>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</si>
  <si>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</si>
  <si>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</si>
  <si>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</si>
  <si>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</si>
  <si>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</si>
  <si>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</si>
  <si>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</si>
  <si>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</si>
  <si>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</si>
  <si>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</si>
  <si>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</si>
  <si>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</si>
  <si>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</si>
  <si>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</si>
  <si>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</si>
  <si>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</si>
  <si>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</si>
  <si>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</si>
  <si>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</si>
  <si>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</si>
  <si>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</si>
  <si>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</si>
  <si>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</si>
  <si>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</si>
  <si>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</si>
  <si>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</si>
  <si>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</si>
  <si>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</si>
  <si>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</si>
  <si>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</si>
  <si>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</si>
  <si>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</si>
  <si>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</si>
  <si>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</si>
  <si>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</si>
  <si>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</si>
  <si>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</si>
  <si>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</si>
  <si>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</si>
  <si>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</si>
  <si>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</si>
  <si>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</si>
  <si>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</si>
  <si>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</si>
  <si>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</si>
  <si>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</si>
  <si>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</si>
  <si>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</si>
  <si>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</si>
  <si>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</si>
  <si>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</si>
  <si>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</si>
  <si>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</si>
  <si>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</si>
  <si>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</si>
  <si>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</si>
  <si>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</si>
  <si>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</si>
  <si>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</si>
  <si>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</si>
  <si>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</si>
  <si>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</si>
  <si>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</si>
  <si>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</si>
  <si>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</si>
  <si>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</si>
  <si>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</si>
  <si>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</si>
  <si>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</si>
  <si>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</si>
  <si>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</si>
  <si>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</si>
  <si>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</si>
  <si>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</si>
  <si>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</si>
  <si>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</si>
  <si>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</si>
  <si>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</si>
  <si>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</si>
  <si>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</si>
  <si>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</si>
  <si>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</si>
  <si>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</si>
  <si>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</si>
  <si>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</si>
  <si>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</si>
  <si>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</si>
  <si>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</si>
  <si>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</si>
  <si>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</si>
  <si>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</si>
  <si>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</si>
  <si>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</si>
  <si>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</si>
  <si>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</si>
  <si>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</si>
  <si>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</si>
  <si>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</si>
  <si>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</si>
  <si>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</si>
  <si>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</si>
  <si>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</si>
  <si>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</si>
  <si>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</si>
  <si>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</si>
  <si>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</si>
  <si>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</si>
  <si>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</si>
  <si>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</si>
  <si>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</si>
  <si>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</si>
  <si>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</si>
  <si>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</si>
  <si>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</si>
  <si>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</si>
  <si>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</si>
  <si>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</si>
  <si>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</si>
  <si>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</si>
  <si>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</si>
  <si>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</si>
  <si>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</si>
  <si>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</si>
  <si>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</si>
  <si>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</si>
  <si>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</si>
  <si>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</si>
  <si>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</si>
  <si>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</si>
  <si>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</si>
  <si>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</si>
  <si>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</si>
  <si>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</si>
  <si>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</si>
  <si>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</si>
  <si>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</si>
  <si>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</si>
  <si>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</si>
  <si>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</si>
  <si>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</si>
  <si>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</si>
  <si>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</si>
  <si>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</si>
  <si>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</si>
  <si>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</si>
  <si>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</si>
  <si>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</si>
  <si>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</si>
  <si>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</si>
  <si>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</si>
  <si>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</si>
  <si>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</si>
  <si>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</si>
  <si>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</si>
  <si>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</si>
  <si>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</si>
  <si>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</si>
  <si>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</si>
  <si>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</si>
  <si>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</si>
  <si>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</si>
  <si>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</si>
  <si>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</si>
  <si>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</si>
  <si>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</si>
  <si>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</si>
  <si>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</si>
  <si>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</si>
  <si>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</si>
  <si>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</si>
  <si>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</si>
  <si>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</si>
  <si>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</si>
  <si>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</si>
  <si>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</si>
  <si>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</si>
  <si>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</si>
  <si>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</si>
  <si>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</si>
  <si>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</si>
  <si>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</si>
  <si>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</si>
  <si>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</si>
  <si>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</si>
  <si>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</si>
  <si>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</si>
  <si>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</si>
  <si>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</si>
  <si>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</si>
  <si>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</si>
  <si>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</si>
  <si>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</si>
  <si>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</si>
  <si>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</si>
  <si>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</si>
  <si>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</si>
  <si>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</si>
  <si>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</si>
  <si>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</si>
  <si>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</si>
  <si>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</si>
  <si>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</si>
  <si>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</si>
  <si>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</si>
  <si>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</si>
  <si>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</si>
  <si>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</si>
  <si>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</si>
  <si>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</si>
  <si>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</si>
  <si>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</si>
  <si>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</si>
  <si>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</si>
  <si>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</si>
  <si>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</si>
  <si>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</si>
  <si>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</si>
  <si>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</si>
  <si>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</si>
  <si>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</si>
  <si>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</si>
  <si>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</si>
  <si>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</si>
  <si>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</si>
  <si>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</si>
  <si>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</si>
  <si>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</si>
  <si>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</si>
  <si>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</si>
  <si>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</si>
  <si>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</si>
  <si>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</si>
  <si>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</si>
  <si>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</si>
  <si>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</si>
  <si>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</si>
  <si>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</si>
  <si>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</si>
  <si>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</si>
  <si>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</si>
  <si>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Middleton School District</t>
  </si>
  <si>
    <t>07/17/2014</t>
  </si>
  <si>
    <t>08/15/2034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</si>
</sst>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353</v>
      </c>
      <c r="C2" s="21">
        <v>353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774130.19</v>
      </c>
      <c r="G9" s="18">
        <v>0</v>
      </c>
      <c r="H9" s="18">
        <v>0</v>
      </c>
      <c r="I9" s="18">
        <v>198552.43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-89175.45</v>
      </c>
      <c r="G12" s="18">
        <v>4288.1099999999997</v>
      </c>
      <c r="H12" s="18">
        <v>-6526.74</v>
      </c>
      <c r="I12" s="18">
        <v>-2854.65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857.71</v>
      </c>
      <c r="G13" s="18">
        <v>3247.11</v>
      </c>
      <c r="H13" s="18">
        <v>7454.63</v>
      </c>
      <c r="I13" s="18">
        <v>0</v>
      </c>
      <c r="J13" s="67">
        <f>SUM(I442)</f>
        <v>268990.2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685812.45</v>
      </c>
      <c r="G19" s="41">
        <f>SUM(G9:G18)</f>
        <v>7535.2199999999993</v>
      </c>
      <c r="H19" s="41">
        <f>SUM(H9:H18)</f>
        <v>927.89000000000033</v>
      </c>
      <c r="I19" s="41">
        <f>SUM(I9:I18)</f>
        <v>195697.78</v>
      </c>
      <c r="J19" s="41">
        <f>SUM(J9:J18)</f>
        <v>268990.2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15431.53</v>
      </c>
      <c r="G28" s="18">
        <v>1068.74</v>
      </c>
      <c r="H28" s="18">
        <v>927.89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589.95000000000005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15431.53</v>
      </c>
      <c r="G32" s="41">
        <f>SUM(G22:G31)</f>
        <v>1658.69</v>
      </c>
      <c r="H32" s="41">
        <f>SUM(H22:H31)</f>
        <v>927.89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5876.53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27000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195697.78</v>
      </c>
      <c r="J48" s="13">
        <f>SUM(I459)</f>
        <v>268990.2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17361.89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626019.03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670380.92000000004</v>
      </c>
      <c r="G51" s="41">
        <f>SUM(G35:G50)</f>
        <v>5876.53</v>
      </c>
      <c r="H51" s="41">
        <f>SUM(H35:H50)</f>
        <v>0</v>
      </c>
      <c r="I51" s="41">
        <f>SUM(I35:I50)</f>
        <v>195697.78</v>
      </c>
      <c r="J51" s="41">
        <f>SUM(J35:J50)</f>
        <v>268990.2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685812.45000000007</v>
      </c>
      <c r="G52" s="41">
        <f>G51+G32</f>
        <v>7535.2199999999993</v>
      </c>
      <c r="H52" s="41">
        <f>H51+H32</f>
        <v>927.89</v>
      </c>
      <c r="I52" s="41">
        <f>I51+I32</f>
        <v>195697.78</v>
      </c>
      <c r="J52" s="41">
        <f>J51+J32</f>
        <v>268990.2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1904662</v>
      </c>
      <c r="G57" s="18">
        <v>0</v>
      </c>
      <c r="H57" s="18">
        <v>0</v>
      </c>
      <c r="I57" s="18">
        <v>0</v>
      </c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1904662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</v>
      </c>
      <c r="G96" s="18">
        <v>0</v>
      </c>
      <c r="H96" s="18">
        <v>0</v>
      </c>
      <c r="I96" s="18">
        <v>297.58999999999997</v>
      </c>
      <c r="J96" s="18">
        <v>1720.14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21934.47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25.62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1552.43</v>
      </c>
      <c r="G110" s="18">
        <v>0</v>
      </c>
      <c r="H110" s="18">
        <v>0</v>
      </c>
      <c r="I110" s="18">
        <v>0</v>
      </c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1578.05</v>
      </c>
      <c r="G111" s="41">
        <f>SUM(G96:G110)</f>
        <v>21934.47</v>
      </c>
      <c r="H111" s="41">
        <f>SUM(H96:H110)</f>
        <v>0</v>
      </c>
      <c r="I111" s="41">
        <f>SUM(I96:I110)</f>
        <v>297.58999999999997</v>
      </c>
      <c r="J111" s="41">
        <f>SUM(J96:J110)</f>
        <v>1720.14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1906240.05</v>
      </c>
      <c r="G112" s="41">
        <f>G60+G111</f>
        <v>21934.47</v>
      </c>
      <c r="H112" s="41">
        <f>H60+H79+H94+H111</f>
        <v>0</v>
      </c>
      <c r="I112" s="41">
        <f>I60+I111</f>
        <v>297.58999999999997</v>
      </c>
      <c r="J112" s="41">
        <f>J60+J111</f>
        <v>1720.14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1349077.56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347537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2090.31</v>
      </c>
      <c r="G120" s="18">
        <v>0</v>
      </c>
      <c r="H120" s="18">
        <v>0</v>
      </c>
      <c r="I120" s="18">
        <v>0</v>
      </c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1698704.87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17287.02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841.89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17287.02</v>
      </c>
      <c r="G136" s="41">
        <f>SUM(G123:G135)</f>
        <v>841.89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1715991.8900000001</v>
      </c>
      <c r="G140" s="41">
        <f>G121+SUM(G136:G137)</f>
        <v>841.89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17292.169999999998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24503.55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30822.959999999999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23542.95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9378.15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9378.15</v>
      </c>
      <c r="G162" s="41">
        <f>SUM(G150:G161)</f>
        <v>30822.959999999999</v>
      </c>
      <c r="H162" s="41">
        <f>SUM(H150:H161)</f>
        <v>65338.67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9378.15</v>
      </c>
      <c r="G169" s="41">
        <f>G147+G162+SUM(G163:G168)</f>
        <v>30822.959999999999</v>
      </c>
      <c r="H169" s="41">
        <f>H147+H162+SUM(H163:H168)</f>
        <v>65338.67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27000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27000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27000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3631610.0900000003</v>
      </c>
      <c r="G193" s="47">
        <f>G112+G140+G169+G192</f>
        <v>53599.32</v>
      </c>
      <c r="H193" s="47">
        <f>H112+H140+H169+H192</f>
        <v>65338.67</v>
      </c>
      <c r="I193" s="47">
        <f>I112+I140+I169+I192</f>
        <v>297.58999999999997</v>
      </c>
      <c r="J193" s="47">
        <f>J112+J140+J192</f>
        <v>28720.14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427710.48</v>
      </c>
      <c r="G197" s="18">
        <v>264875.21999999997</v>
      </c>
      <c r="H197" s="18">
        <v>0</v>
      </c>
      <c r="I197" s="18">
        <v>40485.51</v>
      </c>
      <c r="J197" s="18">
        <v>2951.31</v>
      </c>
      <c r="K197" s="18">
        <v>0</v>
      </c>
      <c r="L197" s="19">
        <f>SUM(F197:K197)</f>
        <v>736022.52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198401.18</v>
      </c>
      <c r="G198" s="18">
        <v>93898.85</v>
      </c>
      <c r="H198" s="18">
        <v>211664.59</v>
      </c>
      <c r="I198" s="18">
        <v>16873.650000000001</v>
      </c>
      <c r="J198" s="18">
        <v>0</v>
      </c>
      <c r="K198" s="18">
        <v>415.14</v>
      </c>
      <c r="L198" s="19">
        <f>SUM(F198:K198)</f>
        <v>521253.41000000003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>
        <v>0</v>
      </c>
      <c r="H200" s="18">
        <v>0</v>
      </c>
      <c r="I200" s="18">
        <v>168.93</v>
      </c>
      <c r="J200" s="18">
        <v>0</v>
      </c>
      <c r="K200" s="18">
        <v>0</v>
      </c>
      <c r="L200" s="19">
        <f>SUM(F200:K200)</f>
        <v>168.93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58111.77</v>
      </c>
      <c r="G202" s="18">
        <v>10550.43</v>
      </c>
      <c r="H202" s="18">
        <v>57123.97</v>
      </c>
      <c r="I202" s="18">
        <v>1047.22</v>
      </c>
      <c r="J202" s="18">
        <v>233.96</v>
      </c>
      <c r="K202" s="18">
        <v>0</v>
      </c>
      <c r="L202" s="19">
        <f t="shared" ref="L202:L208" si="0">SUM(F202:K202)</f>
        <v>127067.35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21500</v>
      </c>
      <c r="G203" s="18">
        <v>1839.95</v>
      </c>
      <c r="H203" s="18">
        <v>3018.77</v>
      </c>
      <c r="I203" s="18">
        <v>8130.67</v>
      </c>
      <c r="J203" s="18">
        <v>0</v>
      </c>
      <c r="K203" s="18">
        <v>0</v>
      </c>
      <c r="L203" s="19">
        <f t="shared" si="0"/>
        <v>34489.39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9488.06</v>
      </c>
      <c r="G204" s="18">
        <v>724.84</v>
      </c>
      <c r="H204" s="18">
        <v>221215.2</v>
      </c>
      <c r="I204" s="18">
        <v>831.88</v>
      </c>
      <c r="J204" s="18">
        <v>0</v>
      </c>
      <c r="K204" s="18">
        <v>2912.58</v>
      </c>
      <c r="L204" s="19">
        <f t="shared" si="0"/>
        <v>235172.56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118635.18</v>
      </c>
      <c r="G205" s="18">
        <v>81603.89</v>
      </c>
      <c r="H205" s="18">
        <v>14201.09</v>
      </c>
      <c r="I205" s="18">
        <v>1330.78</v>
      </c>
      <c r="J205" s="18">
        <v>0</v>
      </c>
      <c r="K205" s="18">
        <v>84</v>
      </c>
      <c r="L205" s="19">
        <f t="shared" si="0"/>
        <v>215854.94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2582.88</v>
      </c>
      <c r="L206" s="19">
        <f t="shared" si="0"/>
        <v>2582.88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67071.83</v>
      </c>
      <c r="G207" s="18">
        <v>24096.31</v>
      </c>
      <c r="H207" s="18">
        <v>20697.509999999998</v>
      </c>
      <c r="I207" s="18">
        <v>54702.99</v>
      </c>
      <c r="J207" s="18">
        <v>0</v>
      </c>
      <c r="K207" s="18">
        <v>0</v>
      </c>
      <c r="L207" s="19">
        <f t="shared" si="0"/>
        <v>166568.63999999998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80776.91</v>
      </c>
      <c r="G208" s="18">
        <v>6661.19</v>
      </c>
      <c r="H208" s="18">
        <v>47316.73</v>
      </c>
      <c r="I208" s="18">
        <v>19156.73</v>
      </c>
      <c r="J208" s="18">
        <v>0</v>
      </c>
      <c r="K208" s="18">
        <v>929.17</v>
      </c>
      <c r="L208" s="19">
        <f t="shared" si="0"/>
        <v>154840.73000000004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25473.5</v>
      </c>
      <c r="I209" s="18">
        <v>7965.75</v>
      </c>
      <c r="J209" s="18">
        <v>81342.97</v>
      </c>
      <c r="K209" s="18">
        <v>0</v>
      </c>
      <c r="L209" s="19">
        <f>SUM(F209:K209)</f>
        <v>114782.22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981695.40999999992</v>
      </c>
      <c r="G211" s="41">
        <f t="shared" si="1"/>
        <v>484250.68</v>
      </c>
      <c r="H211" s="41">
        <f t="shared" si="1"/>
        <v>600711.36</v>
      </c>
      <c r="I211" s="41">
        <f t="shared" si="1"/>
        <v>150694.11000000002</v>
      </c>
      <c r="J211" s="41">
        <f t="shared" si="1"/>
        <v>84528.24</v>
      </c>
      <c r="K211" s="41">
        <f t="shared" si="1"/>
        <v>6923.77</v>
      </c>
      <c r="L211" s="41">
        <f t="shared" si="1"/>
        <v>2308803.5700000003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500316.5</v>
      </c>
      <c r="I215" s="18">
        <v>0</v>
      </c>
      <c r="J215" s="18">
        <v>0</v>
      </c>
      <c r="K215" s="18">
        <v>0</v>
      </c>
      <c r="L215" s="19">
        <f>SUM(F215:K215)</f>
        <v>500316.5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20983.01</v>
      </c>
      <c r="I216" s="18">
        <v>0</v>
      </c>
      <c r="J216" s="18">
        <v>0</v>
      </c>
      <c r="K216" s="18">
        <v>0</v>
      </c>
      <c r="L216" s="19">
        <f>SUM(F216:K216)</f>
        <v>20983.01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521299.51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521299.51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833818.5</v>
      </c>
      <c r="I233" s="18">
        <v>0</v>
      </c>
      <c r="J233" s="18">
        <v>0</v>
      </c>
      <c r="K233" s="18">
        <v>0</v>
      </c>
      <c r="L233" s="19">
        <f>SUM(F233:K233)</f>
        <v>833818.5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0</v>
      </c>
      <c r="G234" s="18">
        <v>0</v>
      </c>
      <c r="H234" s="18">
        <v>65395.27</v>
      </c>
      <c r="I234" s="18">
        <v>0</v>
      </c>
      <c r="J234" s="18">
        <v>0</v>
      </c>
      <c r="K234" s="18">
        <v>0</v>
      </c>
      <c r="L234" s="19">
        <f>SUM(F234:K234)</f>
        <v>65395.27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899213.77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899213.77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981695.40999999992</v>
      </c>
      <c r="G257" s="41">
        <f t="shared" si="8"/>
        <v>484250.68</v>
      </c>
      <c r="H257" s="41">
        <f t="shared" si="8"/>
        <v>2021224.6400000001</v>
      </c>
      <c r="I257" s="41">
        <f t="shared" si="8"/>
        <v>150694.11000000002</v>
      </c>
      <c r="J257" s="41">
        <f t="shared" si="8"/>
        <v>84528.24</v>
      </c>
      <c r="K257" s="41">
        <f t="shared" si="8"/>
        <v>6923.77</v>
      </c>
      <c r="L257" s="41">
        <f t="shared" si="8"/>
        <v>3729316.85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305000</v>
      </c>
      <c r="L260" s="19">
        <f>SUM(F260:K260)</f>
        <v>305000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233152.5</v>
      </c>
      <c r="L261" s="19">
        <f>SUM(F261:K261)</f>
        <v>233152.5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27000</v>
      </c>
      <c r="L266" s="19">
        <f t="shared" si="9"/>
        <v>27000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565152.5</v>
      </c>
      <c r="L270" s="41">
        <f t="shared" si="9"/>
        <v>565152.5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981695.40999999992</v>
      </c>
      <c r="G271" s="42">
        <f t="shared" si="11"/>
        <v>484250.68</v>
      </c>
      <c r="H271" s="42">
        <f t="shared" si="11"/>
        <v>2021224.6400000001</v>
      </c>
      <c r="I271" s="42">
        <f t="shared" si="11"/>
        <v>150694.11000000002</v>
      </c>
      <c r="J271" s="42">
        <f t="shared" si="11"/>
        <v>84528.24</v>
      </c>
      <c r="K271" s="42">
        <f t="shared" si="11"/>
        <v>572076.27</v>
      </c>
      <c r="L271" s="42">
        <f t="shared" si="11"/>
        <v>4294469.3499999996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6675</v>
      </c>
      <c r="G276" s="18">
        <v>1481.79</v>
      </c>
      <c r="H276" s="18">
        <v>0</v>
      </c>
      <c r="I276" s="18">
        <v>5323.07</v>
      </c>
      <c r="J276" s="18">
        <v>0</v>
      </c>
      <c r="K276" s="18">
        <v>0</v>
      </c>
      <c r="L276" s="19">
        <f>SUM(F276:K276)</f>
        <v>13479.86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3073.9</v>
      </c>
      <c r="G277" s="18">
        <v>235.17</v>
      </c>
      <c r="H277" s="18">
        <v>0</v>
      </c>
      <c r="I277" s="18">
        <v>7287.47</v>
      </c>
      <c r="J277" s="18">
        <v>2970.95</v>
      </c>
      <c r="K277" s="18">
        <v>0</v>
      </c>
      <c r="L277" s="19">
        <f>SUM(F277:K277)</f>
        <v>13567.490000000002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1225</v>
      </c>
      <c r="G279" s="18">
        <v>93.72</v>
      </c>
      <c r="H279" s="18">
        <v>760</v>
      </c>
      <c r="I279" s="18">
        <v>0</v>
      </c>
      <c r="J279" s="18">
        <v>0</v>
      </c>
      <c r="K279" s="18">
        <v>0</v>
      </c>
      <c r="L279" s="19">
        <f>SUM(F279:K279)</f>
        <v>2078.7200000000003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1910.38</v>
      </c>
      <c r="G282" s="18">
        <v>197.37</v>
      </c>
      <c r="H282" s="18">
        <v>31071.97</v>
      </c>
      <c r="I282" s="18">
        <v>3032.88</v>
      </c>
      <c r="J282" s="18">
        <v>0</v>
      </c>
      <c r="K282" s="18">
        <v>0</v>
      </c>
      <c r="L282" s="19">
        <f t="shared" si="12"/>
        <v>36212.6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12884.279999999999</v>
      </c>
      <c r="G290" s="42">
        <f t="shared" si="13"/>
        <v>2008.0500000000002</v>
      </c>
      <c r="H290" s="42">
        <f t="shared" si="13"/>
        <v>31831.97</v>
      </c>
      <c r="I290" s="42">
        <f t="shared" si="13"/>
        <v>15643.420000000002</v>
      </c>
      <c r="J290" s="42">
        <f t="shared" si="13"/>
        <v>2970.95</v>
      </c>
      <c r="K290" s="42">
        <f t="shared" si="13"/>
        <v>0</v>
      </c>
      <c r="L290" s="41">
        <f t="shared" si="13"/>
        <v>65338.67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12884.279999999999</v>
      </c>
      <c r="G338" s="41">
        <f t="shared" si="20"/>
        <v>2008.0500000000002</v>
      </c>
      <c r="H338" s="41">
        <f t="shared" si="20"/>
        <v>31831.97</v>
      </c>
      <c r="I338" s="41">
        <f t="shared" si="20"/>
        <v>15643.420000000002</v>
      </c>
      <c r="J338" s="41">
        <f t="shared" si="20"/>
        <v>2970.95</v>
      </c>
      <c r="K338" s="41">
        <f t="shared" si="20"/>
        <v>0</v>
      </c>
      <c r="L338" s="41">
        <f t="shared" si="20"/>
        <v>65338.67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12884.279999999999</v>
      </c>
      <c r="G352" s="41">
        <f>G338</f>
        <v>2008.0500000000002</v>
      </c>
      <c r="H352" s="41">
        <f>H338</f>
        <v>31831.97</v>
      </c>
      <c r="I352" s="41">
        <f>I338</f>
        <v>15643.420000000002</v>
      </c>
      <c r="J352" s="41">
        <f>J338</f>
        <v>2970.95</v>
      </c>
      <c r="K352" s="47">
        <f>K338+K351</f>
        <v>0</v>
      </c>
      <c r="L352" s="41">
        <f>L338+L351</f>
        <v>65338.67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18543.599999999999</v>
      </c>
      <c r="G358" s="18">
        <v>1418.55</v>
      </c>
      <c r="H358" s="18">
        <v>349</v>
      </c>
      <c r="I358" s="18">
        <v>28073.18</v>
      </c>
      <c r="J358" s="18">
        <v>0</v>
      </c>
      <c r="K358" s="18">
        <v>0</v>
      </c>
      <c r="L358" s="13">
        <f>SUM(F358:K358)</f>
        <v>48384.33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18543.599999999999</v>
      </c>
      <c r="G362" s="47">
        <f t="shared" si="22"/>
        <v>1418.55</v>
      </c>
      <c r="H362" s="47">
        <f t="shared" si="22"/>
        <v>349</v>
      </c>
      <c r="I362" s="47">
        <f t="shared" si="22"/>
        <v>28073.18</v>
      </c>
      <c r="J362" s="47">
        <f t="shared" si="22"/>
        <v>0</v>
      </c>
      <c r="K362" s="47">
        <f t="shared" si="22"/>
        <v>0</v>
      </c>
      <c r="L362" s="47">
        <f t="shared" si="22"/>
        <v>48384.33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26117.08</v>
      </c>
      <c r="G367" s="18">
        <v>0</v>
      </c>
      <c r="H367" s="18">
        <v>0</v>
      </c>
      <c r="I367" s="56">
        <f>SUM(F367:H367)</f>
        <v>26117.08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1956.1</v>
      </c>
      <c r="G368" s="63">
        <v>0</v>
      </c>
      <c r="H368" s="63">
        <v>0</v>
      </c>
      <c r="I368" s="56">
        <f>SUM(F368:H368)</f>
        <v>1956.1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28073.18</v>
      </c>
      <c r="G369" s="47">
        <f>SUM(G367:G368)</f>
        <v>0</v>
      </c>
      <c r="H369" s="47">
        <f>SUM(H367:H368)</f>
        <v>0</v>
      </c>
      <c r="I369" s="47">
        <f>SUM(I367:I368)</f>
        <v>28073.18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4542.6899999999996</v>
      </c>
      <c r="K378" s="18">
        <v>0</v>
      </c>
      <c r="L378" s="13">
        <f>SUM(H378:K378)</f>
        <v>4542.6899999999996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4542.6899999999996</v>
      </c>
      <c r="K382" s="47">
        <f t="shared" si="24"/>
        <v>0</v>
      </c>
      <c r="L382" s="47">
        <f t="shared" si="24"/>
        <v>4542.6899999999996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15000</v>
      </c>
      <c r="H390" s="18">
        <v>352.72</v>
      </c>
      <c r="I390" s="18">
        <v>0</v>
      </c>
      <c r="J390" s="24" t="s">
        <v>286</v>
      </c>
      <c r="K390" s="24" t="s">
        <v>286</v>
      </c>
      <c r="L390" s="56">
        <f t="shared" si="25"/>
        <v>15352.72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352.72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15352.72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5000</v>
      </c>
      <c r="H396" s="18">
        <v>60.61</v>
      </c>
      <c r="I396" s="18">
        <v>0</v>
      </c>
      <c r="J396" s="24" t="s">
        <v>286</v>
      </c>
      <c r="K396" s="24" t="s">
        <v>286</v>
      </c>
      <c r="L396" s="56">
        <f t="shared" si="26"/>
        <v>5060.6099999999997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7000</v>
      </c>
      <c r="H397" s="18">
        <v>945.84</v>
      </c>
      <c r="I397" s="18">
        <v>0</v>
      </c>
      <c r="J397" s="24" t="s">
        <v>286</v>
      </c>
      <c r="K397" s="24" t="s">
        <v>286</v>
      </c>
      <c r="L397" s="56">
        <f t="shared" si="26"/>
        <v>7945.84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360.97</v>
      </c>
      <c r="I399" s="18">
        <v>0</v>
      </c>
      <c r="J399" s="24" t="s">
        <v>286</v>
      </c>
      <c r="K399" s="24" t="s">
        <v>286</v>
      </c>
      <c r="L399" s="56">
        <f t="shared" si="26"/>
        <v>360.97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12000</v>
      </c>
      <c r="H401" s="47">
        <f>SUM(H395:H400)</f>
        <v>1367.42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13367.42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27000</v>
      </c>
      <c r="H408" s="47">
        <f>H393+H401+H407</f>
        <v>1720.14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28720.14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268990.2</v>
      </c>
      <c r="G442" s="18">
        <v>0</v>
      </c>
      <c r="H442" s="18">
        <v>0</v>
      </c>
      <c r="I442" s="56">
        <f t="shared" si="33"/>
        <v>268990.2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268990.2</v>
      </c>
      <c r="G446" s="13">
        <f>SUM(G439:G445)</f>
        <v>0</v>
      </c>
      <c r="H446" s="13">
        <f>SUM(H439:H445)</f>
        <v>0</v>
      </c>
      <c r="I446" s="13">
        <f>SUM(I439:I445)</f>
        <v>268990.2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268990.2</v>
      </c>
      <c r="G459" s="18">
        <v>0</v>
      </c>
      <c r="H459" s="18">
        <v>0</v>
      </c>
      <c r="I459" s="56">
        <f t="shared" si="34"/>
        <v>268990.2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268990.2</v>
      </c>
      <c r="G460" s="83">
        <f>SUM(G454:G459)</f>
        <v>0</v>
      </c>
      <c r="H460" s="83">
        <f>SUM(H454:H459)</f>
        <v>0</v>
      </c>
      <c r="I460" s="83">
        <f>SUM(I454:I459)</f>
        <v>268990.2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268990.2</v>
      </c>
      <c r="G461" s="42">
        <f>G452+G460</f>
        <v>0</v>
      </c>
      <c r="H461" s="42">
        <f>H452+H460</f>
        <v>0</v>
      </c>
      <c r="I461" s="42">
        <f>I452+I460</f>
        <v>268990.2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1333240.18</v>
      </c>
      <c r="G465" s="18">
        <v>661.54</v>
      </c>
      <c r="H465" s="18">
        <v>0</v>
      </c>
      <c r="I465" s="18">
        <v>199942.88</v>
      </c>
      <c r="J465" s="18">
        <v>240270.06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3631610.09</v>
      </c>
      <c r="G468" s="18">
        <v>53599.32</v>
      </c>
      <c r="H468" s="18">
        <v>65338.67</v>
      </c>
      <c r="I468" s="18">
        <v>297.58999999999997</v>
      </c>
      <c r="J468" s="18">
        <v>28720.14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3631610.09</v>
      </c>
      <c r="G470" s="53">
        <f>SUM(G468:G469)</f>
        <v>53599.32</v>
      </c>
      <c r="H470" s="53">
        <f>SUM(H468:H469)</f>
        <v>65338.67</v>
      </c>
      <c r="I470" s="53">
        <f>SUM(I468:I469)</f>
        <v>297.58999999999997</v>
      </c>
      <c r="J470" s="53">
        <f>SUM(J468:J469)</f>
        <v>28720.14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4294469.3499999996</v>
      </c>
      <c r="G472" s="18">
        <v>48384.33</v>
      </c>
      <c r="H472" s="18">
        <v>65338.67</v>
      </c>
      <c r="I472" s="18">
        <v>4542.6899999999996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4294469.3499999996</v>
      </c>
      <c r="G474" s="53">
        <f>SUM(G472:G473)</f>
        <v>48384.33</v>
      </c>
      <c r="H474" s="53">
        <f>SUM(H472:H473)</f>
        <v>65338.67</v>
      </c>
      <c r="I474" s="53">
        <f>SUM(I472:I473)</f>
        <v>4542.6899999999996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670380.91999999993</v>
      </c>
      <c r="G476" s="53">
        <f>(G465+G470)- G474</f>
        <v>5876.5299999999988</v>
      </c>
      <c r="H476" s="53">
        <f>(H465+H470)- H474</f>
        <v>0</v>
      </c>
      <c r="I476" s="53">
        <f>(I465+I470)- I474</f>
        <v>195697.78</v>
      </c>
      <c r="J476" s="53">
        <f>(J465+J470)- J474</f>
        <v>268990.2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6037500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3.2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5430000</v>
      </c>
      <c r="G495" s="18"/>
      <c r="H495" s="18"/>
      <c r="I495" s="18"/>
      <c r="J495" s="18"/>
      <c r="K495" s="53">
        <f>SUM(F495:J495)</f>
        <v>5430000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5125000</v>
      </c>
      <c r="G498" s="204"/>
      <c r="H498" s="204"/>
      <c r="I498" s="204"/>
      <c r="J498" s="204"/>
      <c r="K498" s="205">
        <f t="shared" si="35"/>
        <v>5125000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1806037.5</v>
      </c>
      <c r="G499" s="18"/>
      <c r="H499" s="18"/>
      <c r="I499" s="18"/>
      <c r="J499" s="18"/>
      <c r="K499" s="53">
        <f t="shared" si="35"/>
        <v>1806037.5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6931037.5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6931037.5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305000</v>
      </c>
      <c r="G501" s="204"/>
      <c r="H501" s="204"/>
      <c r="I501" s="204"/>
      <c r="J501" s="204"/>
      <c r="K501" s="205">
        <f t="shared" si="35"/>
        <v>305000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217597.5</v>
      </c>
      <c r="G502" s="18"/>
      <c r="H502" s="18"/>
      <c r="I502" s="18"/>
      <c r="J502" s="18"/>
      <c r="K502" s="53">
        <f t="shared" si="35"/>
        <v>217597.5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522597.5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522597.5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64472.03</v>
      </c>
      <c r="G521" s="18">
        <v>30122.89</v>
      </c>
      <c r="H521" s="18">
        <v>95373.72</v>
      </c>
      <c r="I521" s="18">
        <v>7731.56</v>
      </c>
      <c r="J521" s="18">
        <v>950.7</v>
      </c>
      <c r="K521" s="18">
        <v>132.84</v>
      </c>
      <c r="L521" s="88">
        <f>SUM(F521:K521)</f>
        <v>198783.74000000002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21920.49</v>
      </c>
      <c r="G522" s="18">
        <v>10241.780000000001</v>
      </c>
      <c r="H522" s="18">
        <v>32427.06</v>
      </c>
      <c r="I522" s="18">
        <v>2628.73</v>
      </c>
      <c r="J522" s="18">
        <v>323.24</v>
      </c>
      <c r="K522" s="18">
        <v>45.17</v>
      </c>
      <c r="L522" s="88">
        <f>SUM(F522:K522)</f>
        <v>67586.47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42551.54</v>
      </c>
      <c r="G523" s="18">
        <v>19881.11</v>
      </c>
      <c r="H523" s="18">
        <v>62946.65</v>
      </c>
      <c r="I523" s="18">
        <v>5102.83</v>
      </c>
      <c r="J523" s="18">
        <v>627.46</v>
      </c>
      <c r="K523" s="18">
        <v>87.68</v>
      </c>
      <c r="L523" s="88">
        <f>SUM(F523:K523)</f>
        <v>131197.26999999999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128944.06</v>
      </c>
      <c r="G524" s="108">
        <f t="shared" ref="G524:L524" si="36">SUM(G521:G523)</f>
        <v>60245.78</v>
      </c>
      <c r="H524" s="108">
        <f t="shared" si="36"/>
        <v>190747.43</v>
      </c>
      <c r="I524" s="108">
        <f t="shared" si="36"/>
        <v>15463.12</v>
      </c>
      <c r="J524" s="108">
        <f t="shared" si="36"/>
        <v>1901.4</v>
      </c>
      <c r="K524" s="108">
        <f t="shared" si="36"/>
        <v>265.69</v>
      </c>
      <c r="L524" s="89">
        <f t="shared" si="36"/>
        <v>397567.48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30221.26</v>
      </c>
      <c r="G526" s="18">
        <v>14120.1</v>
      </c>
      <c r="H526" s="18">
        <v>44706.43</v>
      </c>
      <c r="I526" s="18">
        <v>3624.17</v>
      </c>
      <c r="J526" s="18">
        <v>445.64</v>
      </c>
      <c r="K526" s="18">
        <v>62.27</v>
      </c>
      <c r="L526" s="88">
        <f>SUM(F526:K526)</f>
        <v>93179.87000000001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10275.23</v>
      </c>
      <c r="G527" s="18">
        <v>4800.84</v>
      </c>
      <c r="H527" s="18">
        <v>15200.19</v>
      </c>
      <c r="I527" s="18">
        <v>1232.22</v>
      </c>
      <c r="J527" s="18">
        <v>151.52000000000001</v>
      </c>
      <c r="K527" s="18">
        <v>21.17</v>
      </c>
      <c r="L527" s="88">
        <f>SUM(F527:K527)</f>
        <v>31681.170000000002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19946.03</v>
      </c>
      <c r="G528" s="18">
        <v>9319.27</v>
      </c>
      <c r="H528" s="18">
        <v>29506.240000000002</v>
      </c>
      <c r="I528" s="18">
        <v>2391.9499999999998</v>
      </c>
      <c r="J528" s="18">
        <v>294.12</v>
      </c>
      <c r="K528" s="18">
        <v>41.1</v>
      </c>
      <c r="L528" s="88">
        <f>SUM(F528:K528)</f>
        <v>61498.71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60442.52</v>
      </c>
      <c r="G529" s="89">
        <f t="shared" ref="G529:L529" si="37">SUM(G526:G528)</f>
        <v>28240.210000000003</v>
      </c>
      <c r="H529" s="89">
        <f t="shared" si="37"/>
        <v>89412.86</v>
      </c>
      <c r="I529" s="89">
        <f t="shared" si="37"/>
        <v>7248.34</v>
      </c>
      <c r="J529" s="89">
        <f t="shared" si="37"/>
        <v>891.28</v>
      </c>
      <c r="K529" s="89">
        <f t="shared" si="37"/>
        <v>124.53999999999999</v>
      </c>
      <c r="L529" s="89">
        <f t="shared" si="37"/>
        <v>186359.75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6044.25</v>
      </c>
      <c r="G531" s="18">
        <v>2824.02</v>
      </c>
      <c r="H531" s="18">
        <v>8941.2900000000009</v>
      </c>
      <c r="I531" s="18">
        <v>724.83</v>
      </c>
      <c r="J531" s="18">
        <v>89.13</v>
      </c>
      <c r="K531" s="18">
        <v>12.45</v>
      </c>
      <c r="L531" s="88">
        <f>SUM(F531:K531)</f>
        <v>18635.970000000005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2055.0500000000002</v>
      </c>
      <c r="G532" s="18">
        <v>960.17</v>
      </c>
      <c r="H532" s="18">
        <v>3040.04</v>
      </c>
      <c r="I532" s="18">
        <v>246.44</v>
      </c>
      <c r="J532" s="18">
        <v>30.3</v>
      </c>
      <c r="K532" s="18">
        <v>4.2300000000000004</v>
      </c>
      <c r="L532" s="88">
        <f>SUM(F532:K532)</f>
        <v>6336.23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3989.21</v>
      </c>
      <c r="G533" s="18">
        <v>1863.85</v>
      </c>
      <c r="H533" s="18">
        <v>5901.25</v>
      </c>
      <c r="I533" s="18">
        <v>478.39499999999998</v>
      </c>
      <c r="J533" s="18">
        <v>58.82</v>
      </c>
      <c r="K533" s="18">
        <v>8.2200000000000006</v>
      </c>
      <c r="L533" s="88">
        <f>SUM(F533:K533)</f>
        <v>12299.744999999999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12088.51</v>
      </c>
      <c r="G534" s="89">
        <f t="shared" ref="G534:L534" si="38">SUM(G531:G533)</f>
        <v>5648.04</v>
      </c>
      <c r="H534" s="89">
        <f t="shared" si="38"/>
        <v>17882.580000000002</v>
      </c>
      <c r="I534" s="89">
        <f t="shared" si="38"/>
        <v>1449.665</v>
      </c>
      <c r="J534" s="89">
        <f t="shared" si="38"/>
        <v>178.25</v>
      </c>
      <c r="K534" s="89">
        <f t="shared" si="38"/>
        <v>24.9</v>
      </c>
      <c r="L534" s="89">
        <f t="shared" si="38"/>
        <v>37271.945000000007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13823.32</v>
      </c>
      <c r="G541" s="18">
        <v>1057.48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14880.8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4699.93</v>
      </c>
      <c r="G542" s="18">
        <v>359.54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5059.47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9123.39</v>
      </c>
      <c r="G543" s="18">
        <v>697.93</v>
      </c>
      <c r="H543" s="18">
        <v>0</v>
      </c>
      <c r="I543" s="18">
        <v>0</v>
      </c>
      <c r="J543" s="18">
        <v>0</v>
      </c>
      <c r="K543" s="18">
        <v>0</v>
      </c>
      <c r="L543" s="88">
        <f>SUM(F543:K543)</f>
        <v>9821.32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27646.639999999999</v>
      </c>
      <c r="G544" s="193">
        <f t="shared" ref="G544:L544" si="40">SUM(G541:G543)</f>
        <v>2114.9499999999998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29761.59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229121.72999999998</v>
      </c>
      <c r="G545" s="89">
        <f t="shared" ref="G545:L545" si="41">G524+G529+G534+G539+G544</f>
        <v>96248.98</v>
      </c>
      <c r="H545" s="89">
        <f t="shared" si="41"/>
        <v>298042.87</v>
      </c>
      <c r="I545" s="89">
        <f t="shared" si="41"/>
        <v>24161.125</v>
      </c>
      <c r="J545" s="89">
        <f t="shared" si="41"/>
        <v>2970.9300000000003</v>
      </c>
      <c r="K545" s="89">
        <f t="shared" si="41"/>
        <v>415.13</v>
      </c>
      <c r="L545" s="89">
        <f t="shared" si="41"/>
        <v>650960.76500000001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198783.74000000002</v>
      </c>
      <c r="G549" s="87">
        <f>L526</f>
        <v>93179.87000000001</v>
      </c>
      <c r="H549" s="87">
        <f>L531</f>
        <v>18635.970000000005</v>
      </c>
      <c r="I549" s="87">
        <f>L536</f>
        <v>0</v>
      </c>
      <c r="J549" s="87">
        <f>L541</f>
        <v>14880.8</v>
      </c>
      <c r="K549" s="87">
        <f>SUM(F549:J549)</f>
        <v>325480.38000000006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67586.47</v>
      </c>
      <c r="G550" s="87">
        <f>L527</f>
        <v>31681.170000000002</v>
      </c>
      <c r="H550" s="87">
        <f>L532</f>
        <v>6336.23</v>
      </c>
      <c r="I550" s="87">
        <f>L537</f>
        <v>0</v>
      </c>
      <c r="J550" s="87">
        <f>L542</f>
        <v>5059.47</v>
      </c>
      <c r="K550" s="87">
        <f>SUM(F550:J550)</f>
        <v>110663.34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131197.26999999999</v>
      </c>
      <c r="G551" s="87">
        <f>L528</f>
        <v>61498.71</v>
      </c>
      <c r="H551" s="87">
        <f>L533</f>
        <v>12299.744999999999</v>
      </c>
      <c r="I551" s="87">
        <f>L538</f>
        <v>0</v>
      </c>
      <c r="J551" s="87">
        <f>L543</f>
        <v>9821.32</v>
      </c>
      <c r="K551" s="87">
        <f>SUM(F551:J551)</f>
        <v>214817.04499999998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397567.48</v>
      </c>
      <c r="G552" s="89">
        <f t="shared" si="42"/>
        <v>186359.75</v>
      </c>
      <c r="H552" s="89">
        <f t="shared" si="42"/>
        <v>37271.945000000007</v>
      </c>
      <c r="I552" s="89">
        <f t="shared" si="42"/>
        <v>0</v>
      </c>
      <c r="J552" s="89">
        <f t="shared" si="42"/>
        <v>29761.59</v>
      </c>
      <c r="K552" s="89">
        <f t="shared" si="42"/>
        <v>650960.76500000013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500316.5</v>
      </c>
      <c r="H575" s="18">
        <v>833818.5</v>
      </c>
      <c r="I575" s="87">
        <f>SUM(F575:H575)</f>
        <v>1334135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20983.01</v>
      </c>
      <c r="H579" s="18">
        <v>65395.27</v>
      </c>
      <c r="I579" s="87">
        <f t="shared" si="47"/>
        <v>86378.28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123051.9</v>
      </c>
      <c r="G582" s="18">
        <v>0</v>
      </c>
      <c r="H582" s="18">
        <v>0</v>
      </c>
      <c r="I582" s="87">
        <f t="shared" si="47"/>
        <v>123051.9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96905.69</v>
      </c>
      <c r="I591" s="18">
        <v>0</v>
      </c>
      <c r="J591" s="18">
        <v>0</v>
      </c>
      <c r="K591" s="104">
        <f t="shared" ref="K591:K597" si="48">SUM(H591:J591)</f>
        <v>96905.69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29761.59</v>
      </c>
      <c r="I592" s="18">
        <v>0</v>
      </c>
      <c r="J592" s="18">
        <v>0</v>
      </c>
      <c r="K592" s="104">
        <f t="shared" si="48"/>
        <v>29761.59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28173.45</v>
      </c>
      <c r="I597" s="18">
        <v>0</v>
      </c>
      <c r="J597" s="18">
        <v>0</v>
      </c>
      <c r="K597" s="104">
        <f t="shared" si="48"/>
        <v>28173.45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154840.73000000001</v>
      </c>
      <c r="I598" s="108">
        <f>SUM(I591:I597)</f>
        <v>0</v>
      </c>
      <c r="J598" s="108">
        <f>SUM(J591:J597)</f>
        <v>0</v>
      </c>
      <c r="K598" s="108">
        <f>SUM(K591:K597)</f>
        <v>154840.73000000001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87499.19</v>
      </c>
      <c r="I604" s="18">
        <v>0</v>
      </c>
      <c r="J604" s="18">
        <v>0</v>
      </c>
      <c r="K604" s="104">
        <f>SUM(H604:J604)</f>
        <v>87499.19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87499.19</v>
      </c>
      <c r="I605" s="108">
        <f>SUM(I602:I604)</f>
        <v>0</v>
      </c>
      <c r="J605" s="108">
        <f>SUM(J602:J604)</f>
        <v>0</v>
      </c>
      <c r="K605" s="108">
        <f>SUM(K602:K604)</f>
        <v>87499.19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1225</v>
      </c>
      <c r="G611" s="18">
        <v>93.72</v>
      </c>
      <c r="H611" s="18">
        <v>760</v>
      </c>
      <c r="I611" s="18">
        <v>0</v>
      </c>
      <c r="J611" s="18">
        <v>0</v>
      </c>
      <c r="K611" s="18">
        <v>0</v>
      </c>
      <c r="L611" s="88">
        <f>SUM(F611:K611)</f>
        <v>2078.7200000000003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1225</v>
      </c>
      <c r="G614" s="108">
        <f t="shared" si="49"/>
        <v>93.72</v>
      </c>
      <c r="H614" s="108">
        <f t="shared" si="49"/>
        <v>760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2078.7200000000003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685812.45</v>
      </c>
      <c r="H617" s="109">
        <f>SUM(F52)</f>
        <v>685812.45000000007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7535.2199999999993</v>
      </c>
      <c r="H618" s="109">
        <f>SUM(G52)</f>
        <v>7535.2199999999993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927.89000000000033</v>
      </c>
      <c r="H619" s="109">
        <f>SUM(H52)</f>
        <v>927.89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195697.78</v>
      </c>
      <c r="H620" s="109">
        <f>SUM(I52)</f>
        <v>195697.78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268990.2</v>
      </c>
      <c r="H621" s="109">
        <f>SUM(J52)</f>
        <v>268990.2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670380.92000000004</v>
      </c>
      <c r="H622" s="109">
        <f>F476</f>
        <v>670380.91999999993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5876.53</v>
      </c>
      <c r="H623" s="109">
        <f>G476</f>
        <v>5876.5299999999988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195697.78</v>
      </c>
      <c r="H625" s="109">
        <f>I476</f>
        <v>195697.78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268990.2</v>
      </c>
      <c r="H626" s="109">
        <f>J476</f>
        <v>268990.2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3631610.0900000003</v>
      </c>
      <c r="H627" s="104">
        <f>SUM(F468)</f>
        <v>3631610.09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53599.32</v>
      </c>
      <c r="H628" s="104">
        <f>SUM(G468)</f>
        <v>53599.32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65338.67</v>
      </c>
      <c r="H629" s="104">
        <f>SUM(H468)</f>
        <v>65338.67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297.58999999999997</v>
      </c>
      <c r="H630" s="104">
        <f>SUM(I468)</f>
        <v>297.58999999999997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28720.14</v>
      </c>
      <c r="H631" s="104">
        <f>SUM(J468)</f>
        <v>28720.14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4294469.3499999996</v>
      </c>
      <c r="H632" s="104">
        <f>SUM(F472)</f>
        <v>4294469.3499999996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65338.67</v>
      </c>
      <c r="H633" s="104">
        <f>SUM(H472)</f>
        <v>65338.67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28073.18</v>
      </c>
      <c r="H634" s="104">
        <f>I369</f>
        <v>28073.18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48384.33</v>
      </c>
      <c r="H635" s="104">
        <f>SUM(G472)</f>
        <v>48384.33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4542.6899999999996</v>
      </c>
      <c r="H636" s="104">
        <f>SUM(I472)</f>
        <v>4542.6899999999996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28720.14</v>
      </c>
      <c r="H637" s="164">
        <f>SUM(J468)</f>
        <v>28720.14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268990.2</v>
      </c>
      <c r="H639" s="104">
        <f>SUM(F461)</f>
        <v>268990.2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268990.2</v>
      </c>
      <c r="H642" s="104">
        <f>SUM(I461)</f>
        <v>268990.2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1720.14</v>
      </c>
      <c r="H644" s="104">
        <f>H408</f>
        <v>1720.14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27000</v>
      </c>
      <c r="H645" s="104">
        <f>G408</f>
        <v>27000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28720.14</v>
      </c>
      <c r="H646" s="104">
        <f>L408</f>
        <v>28720.14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154840.73000000001</v>
      </c>
      <c r="H647" s="104">
        <f>L208+L226+L244</f>
        <v>154840.73000000004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87499.19</v>
      </c>
      <c r="H648" s="104">
        <f>(J257+J338)-(J255+J336)</f>
        <v>87499.19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154840.73000000004</v>
      </c>
      <c r="H649" s="104">
        <f>H598</f>
        <v>154840.73000000001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27000</v>
      </c>
      <c r="H655" s="104">
        <f>K266+K347</f>
        <v>27000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2422526.5700000003</v>
      </c>
      <c r="G660" s="19">
        <f>(L229+L309+L359)</f>
        <v>521299.51</v>
      </c>
      <c r="H660" s="19">
        <f>(L247+L328+L360)</f>
        <v>899213.77</v>
      </c>
      <c r="I660" s="19">
        <f>SUM(F660:H660)</f>
        <v>3843039.85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21934.47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21934.47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154840.73000000004</v>
      </c>
      <c r="G662" s="19">
        <f>(L226+L306)-(J226+J306)</f>
        <v>0</v>
      </c>
      <c r="H662" s="19">
        <f>(L244+L325)-(J244+J325)</f>
        <v>0</v>
      </c>
      <c r="I662" s="19">
        <f>SUM(F662:H662)</f>
        <v>154840.73000000004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212629.81</v>
      </c>
      <c r="G663" s="199">
        <f>SUM(G575:G587)+SUM(I602:I604)+L612</f>
        <v>521299.51</v>
      </c>
      <c r="H663" s="199">
        <f>SUM(H575:H587)+SUM(J602:J604)+L613</f>
        <v>899213.77</v>
      </c>
      <c r="I663" s="19">
        <f>SUM(F663:H663)</f>
        <v>1633143.09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2033121.5600000003</v>
      </c>
      <c r="G664" s="19">
        <f>G660-SUM(G661:G663)</f>
        <v>0</v>
      </c>
      <c r="H664" s="19">
        <f>H660-SUM(H661:H663)</f>
        <v>0</v>
      </c>
      <c r="I664" s="19">
        <f>I660-SUM(I661:I663)</f>
        <v>2033121.56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127.8</v>
      </c>
      <c r="G665" s="248"/>
      <c r="H665" s="248"/>
      <c r="I665" s="19">
        <f>SUM(F665:H665)</f>
        <v>127.8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15908.62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15908.62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15908.62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15908.62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zoomScale="120" zoomScaleNormal="120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Middleton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434385.48</v>
      </c>
      <c r="C9" s="229">
        <f>'DOE25'!G197+'DOE25'!G215+'DOE25'!G233+'DOE25'!G276+'DOE25'!G295+'DOE25'!G314</f>
        <v>266357.00999999995</v>
      </c>
    </row>
    <row r="10" spans="1:3" x14ac:dyDescent="0.2">
      <c r="A10" t="s">
        <v>773</v>
      </c>
      <c r="B10" s="240">
        <v>390729.74</v>
      </c>
      <c r="C10" s="240">
        <v>239588.13</v>
      </c>
    </row>
    <row r="11" spans="1:3" x14ac:dyDescent="0.2">
      <c r="A11" t="s">
        <v>774</v>
      </c>
      <c r="B11" s="240">
        <v>23369.94</v>
      </c>
      <c r="C11" s="240">
        <v>14330.01</v>
      </c>
    </row>
    <row r="12" spans="1:3" x14ac:dyDescent="0.2">
      <c r="A12" t="s">
        <v>775</v>
      </c>
      <c r="B12" s="240">
        <v>20285.8</v>
      </c>
      <c r="C12" s="240">
        <v>12438.87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434385.48</v>
      </c>
      <c r="C13" s="231">
        <f>SUM(C10:C12)</f>
        <v>266357.01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201475.08</v>
      </c>
      <c r="C18" s="229">
        <f>'DOE25'!G198+'DOE25'!G216+'DOE25'!G234+'DOE25'!G277+'DOE25'!G296+'DOE25'!G315</f>
        <v>94134.02</v>
      </c>
    </row>
    <row r="19" spans="1:3" x14ac:dyDescent="0.2">
      <c r="A19" t="s">
        <v>773</v>
      </c>
      <c r="B19" s="240">
        <v>130354.38</v>
      </c>
      <c r="C19" s="240">
        <v>60904.71</v>
      </c>
    </row>
    <row r="20" spans="1:3" x14ac:dyDescent="0.2">
      <c r="A20" t="s">
        <v>774</v>
      </c>
      <c r="B20" s="240">
        <v>61087.24</v>
      </c>
      <c r="C20" s="240">
        <v>28541.43</v>
      </c>
    </row>
    <row r="21" spans="1:3" x14ac:dyDescent="0.2">
      <c r="A21" t="s">
        <v>775</v>
      </c>
      <c r="B21" s="240">
        <v>10033.459999999999</v>
      </c>
      <c r="C21" s="240">
        <v>4687.88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201475.08</v>
      </c>
      <c r="C22" s="231">
        <f>SUM(C19:C21)</f>
        <v>94134.02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1225</v>
      </c>
      <c r="C36" s="235">
        <f>'DOE25'!G200+'DOE25'!G218+'DOE25'!G236+'DOE25'!G279+'DOE25'!G298+'DOE25'!G317</f>
        <v>93.72</v>
      </c>
    </row>
    <row r="37" spans="1:3" x14ac:dyDescent="0.2">
      <c r="A37" t="s">
        <v>773</v>
      </c>
      <c r="B37" s="240">
        <v>1225</v>
      </c>
      <c r="C37" s="240">
        <v>93.72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1225</v>
      </c>
      <c r="C40" s="231">
        <f>SUM(C37:C39)</f>
        <v>93.72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Middleton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2677958.14</v>
      </c>
      <c r="D5" s="20">
        <f>SUM('DOE25'!L197:L200)+SUM('DOE25'!L215:L218)+SUM('DOE25'!L233:L236)-F5-G5</f>
        <v>2674591.69</v>
      </c>
      <c r="E5" s="243"/>
      <c r="F5" s="255">
        <f>SUM('DOE25'!J197:J200)+SUM('DOE25'!J215:J218)+SUM('DOE25'!J233:J236)</f>
        <v>2951.31</v>
      </c>
      <c r="G5" s="53">
        <f>SUM('DOE25'!K197:K200)+SUM('DOE25'!K215:K218)+SUM('DOE25'!K233:K236)</f>
        <v>415.14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127067.35</v>
      </c>
      <c r="D6" s="20">
        <f>'DOE25'!L202+'DOE25'!L220+'DOE25'!L238-F6-G6</f>
        <v>126833.39</v>
      </c>
      <c r="E6" s="243"/>
      <c r="F6" s="255">
        <f>'DOE25'!J202+'DOE25'!J220+'DOE25'!J238</f>
        <v>233.96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34489.39</v>
      </c>
      <c r="D7" s="20">
        <f>'DOE25'!L203+'DOE25'!L221+'DOE25'!L239-F7-G7</f>
        <v>34489.39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28961.130000000019</v>
      </c>
      <c r="D8" s="243"/>
      <c r="E8" s="20">
        <f>'DOE25'!L204+'DOE25'!L222+'DOE25'!L240-F8-G8-D9-D11</f>
        <v>26048.550000000017</v>
      </c>
      <c r="F8" s="255">
        <f>'DOE25'!J204+'DOE25'!J222+'DOE25'!J240</f>
        <v>0</v>
      </c>
      <c r="G8" s="53">
        <f>'DOE25'!K204+'DOE25'!K222+'DOE25'!K240</f>
        <v>2912.58</v>
      </c>
      <c r="H8" s="259"/>
    </row>
    <row r="9" spans="1:9" x14ac:dyDescent="0.2">
      <c r="A9" s="32">
        <v>2310</v>
      </c>
      <c r="B9" t="s">
        <v>812</v>
      </c>
      <c r="C9" s="245">
        <f t="shared" si="0"/>
        <v>32706.43</v>
      </c>
      <c r="D9" s="244">
        <v>32706.43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28961.13</v>
      </c>
      <c r="D10" s="243"/>
      <c r="E10" s="244">
        <v>28961.13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173505</v>
      </c>
      <c r="D11" s="244">
        <v>173505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215854.94</v>
      </c>
      <c r="D12" s="20">
        <f>'DOE25'!L205+'DOE25'!L223+'DOE25'!L241-F12-G12</f>
        <v>215770.94</v>
      </c>
      <c r="E12" s="243"/>
      <c r="F12" s="255">
        <f>'DOE25'!J205+'DOE25'!J223+'DOE25'!J241</f>
        <v>0</v>
      </c>
      <c r="G12" s="53">
        <f>'DOE25'!K205+'DOE25'!K223+'DOE25'!K241</f>
        <v>84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2582.88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2582.88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166568.63999999998</v>
      </c>
      <c r="D14" s="20">
        <f>'DOE25'!L207+'DOE25'!L225+'DOE25'!L243-F14-G14</f>
        <v>166568.63999999998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154840.73000000004</v>
      </c>
      <c r="D15" s="20">
        <f>'DOE25'!L208+'DOE25'!L226+'DOE25'!L244-F15-G15</f>
        <v>153911.56000000003</v>
      </c>
      <c r="E15" s="243"/>
      <c r="F15" s="255">
        <f>'DOE25'!J208+'DOE25'!J226+'DOE25'!J244</f>
        <v>0</v>
      </c>
      <c r="G15" s="53">
        <f>'DOE25'!K208+'DOE25'!K226+'DOE25'!K244</f>
        <v>929.17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114782.22</v>
      </c>
      <c r="D16" s="243"/>
      <c r="E16" s="20">
        <f>'DOE25'!L209+'DOE25'!L227+'DOE25'!L245-F16-G16</f>
        <v>33439.25</v>
      </c>
      <c r="F16" s="255">
        <f>'DOE25'!J209+'DOE25'!J227+'DOE25'!J245</f>
        <v>81342.97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538152.5</v>
      </c>
      <c r="D25" s="243"/>
      <c r="E25" s="243"/>
      <c r="F25" s="258"/>
      <c r="G25" s="256"/>
      <c r="H25" s="257">
        <f>'DOE25'!L260+'DOE25'!L261+'DOE25'!L341+'DOE25'!L342</f>
        <v>538152.5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22267.25</v>
      </c>
      <c r="D29" s="20">
        <f>'DOE25'!L358+'DOE25'!L359+'DOE25'!L360-'DOE25'!I367-F29-G29</f>
        <v>22267.25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65338.67</v>
      </c>
      <c r="D31" s="20">
        <f>'DOE25'!L290+'DOE25'!L309+'DOE25'!L328+'DOE25'!L333+'DOE25'!L334+'DOE25'!L335-F31-G31</f>
        <v>62367.72</v>
      </c>
      <c r="E31" s="243"/>
      <c r="F31" s="255">
        <f>'DOE25'!J290+'DOE25'!J309+'DOE25'!J328+'DOE25'!J333+'DOE25'!J334+'DOE25'!J335</f>
        <v>2970.95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3663012.0100000007</v>
      </c>
      <c r="E33" s="246">
        <f>SUM(E5:E31)</f>
        <v>88448.930000000022</v>
      </c>
      <c r="F33" s="246">
        <f>SUM(F5:F31)</f>
        <v>87499.19</v>
      </c>
      <c r="G33" s="246">
        <f>SUM(G5:G31)</f>
        <v>6923.77</v>
      </c>
      <c r="H33" s="246">
        <f>SUM(H5:H31)</f>
        <v>538152.5</v>
      </c>
    </row>
    <row r="35" spans="2:8" ht="12" thickBot="1" x14ac:dyDescent="0.25">
      <c r="B35" s="253" t="s">
        <v>841</v>
      </c>
      <c r="D35" s="254">
        <f>E33</f>
        <v>88448.930000000022</v>
      </c>
      <c r="E35" s="249"/>
    </row>
    <row r="36" spans="2:8" ht="12" thickTop="1" x14ac:dyDescent="0.2">
      <c r="B36" t="s">
        <v>809</v>
      </c>
      <c r="D36" s="20">
        <f>D33</f>
        <v>3663012.0100000007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4" activePane="bottomLeft" state="frozen"/>
      <selection activeCell="F46" sqref="F46"/>
      <selection pane="bottomLeft" activeCell="O151" sqref="O1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774130.19</v>
      </c>
      <c r="D8" s="95">
        <f>'DOE25'!G9</f>
        <v>0</v>
      </c>
      <c r="E8" s="95">
        <f>'DOE25'!H9</f>
        <v>0</v>
      </c>
      <c r="F8" s="95">
        <f>'DOE25'!I9</f>
        <v>198552.43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-89175.45</v>
      </c>
      <c r="D11" s="95">
        <f>'DOE25'!G12</f>
        <v>4288.1099999999997</v>
      </c>
      <c r="E11" s="95">
        <f>'DOE25'!H12</f>
        <v>-6526.74</v>
      </c>
      <c r="F11" s="95">
        <f>'DOE25'!I12</f>
        <v>-2854.65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857.71</v>
      </c>
      <c r="D12" s="95">
        <f>'DOE25'!G13</f>
        <v>3247.11</v>
      </c>
      <c r="E12" s="95">
        <f>'DOE25'!H13</f>
        <v>7454.63</v>
      </c>
      <c r="F12" s="95">
        <f>'DOE25'!I13</f>
        <v>0</v>
      </c>
      <c r="G12" s="95">
        <f>'DOE25'!J13</f>
        <v>268990.2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685812.45</v>
      </c>
      <c r="D18" s="41">
        <f>SUM(D8:D17)</f>
        <v>7535.2199999999993</v>
      </c>
      <c r="E18" s="41">
        <f>SUM(E8:E17)</f>
        <v>927.89000000000033</v>
      </c>
      <c r="F18" s="41">
        <f>SUM(F8:F17)</f>
        <v>195697.78</v>
      </c>
      <c r="G18" s="41">
        <f>SUM(G8:G17)</f>
        <v>268990.2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15431.53</v>
      </c>
      <c r="D27" s="95">
        <f>'DOE25'!G28</f>
        <v>1068.74</v>
      </c>
      <c r="E27" s="95">
        <f>'DOE25'!H28</f>
        <v>927.89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589.95000000000005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15431.53</v>
      </c>
      <c r="D31" s="41">
        <f>SUM(D21:D30)</f>
        <v>1658.69</v>
      </c>
      <c r="E31" s="41">
        <f>SUM(E21:E30)</f>
        <v>927.89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5876.53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195697.78</v>
      </c>
      <c r="G47" s="95">
        <f>'DOE25'!J48</f>
        <v>268990.2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17361.89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626019.03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670380.92000000004</v>
      </c>
      <c r="D50" s="41">
        <f>SUM(D34:D49)</f>
        <v>5876.53</v>
      </c>
      <c r="E50" s="41">
        <f>SUM(E34:E49)</f>
        <v>0</v>
      </c>
      <c r="F50" s="41">
        <f>SUM(F34:F49)</f>
        <v>195697.78</v>
      </c>
      <c r="G50" s="41">
        <f>SUM(G34:G49)</f>
        <v>268990.2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685812.45000000007</v>
      </c>
      <c r="D51" s="41">
        <f>D50+D31</f>
        <v>7535.2199999999993</v>
      </c>
      <c r="E51" s="41">
        <f>E50+E31</f>
        <v>927.89</v>
      </c>
      <c r="F51" s="41">
        <f>F50+F31</f>
        <v>195697.78</v>
      </c>
      <c r="G51" s="41">
        <f>G50+G31</f>
        <v>268990.2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1904662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297.58999999999997</v>
      </c>
      <c r="G59" s="95">
        <f>'DOE25'!J96</f>
        <v>1720.14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21934.47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1578.05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1578.05</v>
      </c>
      <c r="D62" s="130">
        <f>SUM(D57:D61)</f>
        <v>21934.47</v>
      </c>
      <c r="E62" s="130">
        <f>SUM(E57:E61)</f>
        <v>0</v>
      </c>
      <c r="F62" s="130">
        <f>SUM(F57:F61)</f>
        <v>297.58999999999997</v>
      </c>
      <c r="G62" s="130">
        <f>SUM(G57:G61)</f>
        <v>1720.14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1906240.05</v>
      </c>
      <c r="D63" s="22">
        <f>D56+D62</f>
        <v>21934.47</v>
      </c>
      <c r="E63" s="22">
        <f>E56+E62</f>
        <v>0</v>
      </c>
      <c r="F63" s="22">
        <f>F56+F62</f>
        <v>297.58999999999997</v>
      </c>
      <c r="G63" s="22">
        <f>G56+G62</f>
        <v>1720.14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1349077.56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347537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2090.31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1698704.87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17287.02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841.89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17287.02</v>
      </c>
      <c r="D78" s="130">
        <f>SUM(D72:D77)</f>
        <v>841.89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1715991.8900000001</v>
      </c>
      <c r="D81" s="130">
        <f>SUM(D79:D80)+D78+D70</f>
        <v>841.89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9378.15</v>
      </c>
      <c r="D88" s="95">
        <f>SUM('DOE25'!G153:G161)</f>
        <v>30822.959999999999</v>
      </c>
      <c r="E88" s="95">
        <f>SUM('DOE25'!H153:H161)</f>
        <v>65338.67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9378.15</v>
      </c>
      <c r="D91" s="131">
        <f>SUM(D85:D90)</f>
        <v>30822.959999999999</v>
      </c>
      <c r="E91" s="131">
        <f>SUM(E85:E90)</f>
        <v>65338.67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27000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27000</v>
      </c>
    </row>
    <row r="104" spans="1:7" ht="12.75" thickTop="1" thickBot="1" x14ac:dyDescent="0.25">
      <c r="A104" s="33" t="s">
        <v>759</v>
      </c>
      <c r="C104" s="86">
        <f>C63+C81+C91+C103</f>
        <v>3631610.0900000003</v>
      </c>
      <c r="D104" s="86">
        <f>D63+D81+D91+D103</f>
        <v>53599.32</v>
      </c>
      <c r="E104" s="86">
        <f>E63+E81+E91+E103</f>
        <v>65338.67</v>
      </c>
      <c r="F104" s="86">
        <f>F63+F81+F91+F103</f>
        <v>297.58999999999997</v>
      </c>
      <c r="G104" s="86">
        <f>G63+G81+G103</f>
        <v>28720.14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2070157.52</v>
      </c>
      <c r="D109" s="24" t="s">
        <v>286</v>
      </c>
      <c r="E109" s="95">
        <f>('DOE25'!L276)+('DOE25'!L295)+('DOE25'!L314)</f>
        <v>13479.86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607631.69000000006</v>
      </c>
      <c r="D110" s="24" t="s">
        <v>286</v>
      </c>
      <c r="E110" s="95">
        <f>('DOE25'!L277)+('DOE25'!L296)+('DOE25'!L315)</f>
        <v>13567.490000000002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168.93</v>
      </c>
      <c r="D112" s="24" t="s">
        <v>286</v>
      </c>
      <c r="E112" s="95">
        <f>+('DOE25'!L279)+('DOE25'!L298)+('DOE25'!L317)</f>
        <v>2078.7200000000003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2677958.14</v>
      </c>
      <c r="D115" s="86">
        <f>SUM(D109:D114)</f>
        <v>0</v>
      </c>
      <c r="E115" s="86">
        <f>SUM(E109:E114)</f>
        <v>29126.070000000003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127067.35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34489.39</v>
      </c>
      <c r="D119" s="24" t="s">
        <v>286</v>
      </c>
      <c r="E119" s="95">
        <f>+('DOE25'!L282)+('DOE25'!L301)+('DOE25'!L320)</f>
        <v>36212.6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235172.56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215854.94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2582.88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166568.63999999998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154840.73000000004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114782.22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48384.33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1051358.71</v>
      </c>
      <c r="D128" s="86">
        <f>SUM(D118:D127)</f>
        <v>48384.33</v>
      </c>
      <c r="E128" s="86">
        <f>SUM(E118:E127)</f>
        <v>36212.6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4542.6899999999996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305000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233152.5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15352.72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13367.42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-1720.1399999999994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565152.5</v>
      </c>
      <c r="D144" s="141">
        <f>SUM(D130:D143)</f>
        <v>0</v>
      </c>
      <c r="E144" s="141">
        <f>SUM(E130:E143)</f>
        <v>0</v>
      </c>
      <c r="F144" s="141">
        <f>SUM(F130:F143)</f>
        <v>4542.6899999999996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4294469.3499999996</v>
      </c>
      <c r="D145" s="86">
        <f>(D115+D128+D144)</f>
        <v>48384.33</v>
      </c>
      <c r="E145" s="86">
        <f>(E115+E128+E144)</f>
        <v>65338.67</v>
      </c>
      <c r="F145" s="86">
        <f>(F115+F128+F144)</f>
        <v>4542.6899999999996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07/17/2014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08/15/2034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6037500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5430000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5430000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5125000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5125000</v>
      </c>
    </row>
    <row r="160" spans="1:9" x14ac:dyDescent="0.2">
      <c r="A160" s="22" t="s">
        <v>36</v>
      </c>
      <c r="B160" s="137">
        <f>'DOE25'!F499</f>
        <v>1806037.5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1806037.5</v>
      </c>
    </row>
    <row r="161" spans="1:7" x14ac:dyDescent="0.2">
      <c r="A161" s="22" t="s">
        <v>37</v>
      </c>
      <c r="B161" s="137">
        <f>'DOE25'!F500</f>
        <v>6931037.5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6931037.5</v>
      </c>
    </row>
    <row r="162" spans="1:7" x14ac:dyDescent="0.2">
      <c r="A162" s="22" t="s">
        <v>38</v>
      </c>
      <c r="B162" s="137">
        <f>'DOE25'!F501</f>
        <v>305000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305000</v>
      </c>
    </row>
    <row r="163" spans="1:7" x14ac:dyDescent="0.2">
      <c r="A163" s="22" t="s">
        <v>39</v>
      </c>
      <c r="B163" s="137">
        <f>'DOE25'!F502</f>
        <v>217597.5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217597.5</v>
      </c>
    </row>
    <row r="164" spans="1:7" x14ac:dyDescent="0.2">
      <c r="A164" s="22" t="s">
        <v>246</v>
      </c>
      <c r="B164" s="137">
        <f>'DOE25'!F503</f>
        <v>522597.5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522597.5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Middleton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15909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15909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2083637</v>
      </c>
      <c r="D10" s="182">
        <f>ROUND((C10/$C$28)*100,1)</f>
        <v>51.4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621199</v>
      </c>
      <c r="D11" s="182">
        <f>ROUND((C11/$C$28)*100,1)</f>
        <v>15.3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2248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127067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70702</v>
      </c>
      <c r="D16" s="182">
        <f t="shared" si="0"/>
        <v>1.7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349955</v>
      </c>
      <c r="D17" s="182">
        <f t="shared" si="0"/>
        <v>8.6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215855</v>
      </c>
      <c r="D18" s="182">
        <f t="shared" si="0"/>
        <v>5.3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2583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166569</v>
      </c>
      <c r="D20" s="182">
        <f t="shared" si="0"/>
        <v>4.0999999999999996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154841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233153</v>
      </c>
      <c r="D25" s="182">
        <f t="shared" si="0"/>
        <v>5.8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26449.53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4054258.53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4543</v>
      </c>
    </row>
    <row r="30" spans="1:4" x14ac:dyDescent="0.2">
      <c r="B30" s="187" t="s">
        <v>723</v>
      </c>
      <c r="C30" s="180">
        <f>SUM(C28:C29)</f>
        <v>4058801.53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305000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1904662</v>
      </c>
      <c r="D35" s="182">
        <f t="shared" ref="D35:D40" si="1">ROUND((C35/$C$41)*100,1)</f>
        <v>51.1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3595.7800000000279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1696615</v>
      </c>
      <c r="D37" s="182">
        <f t="shared" si="1"/>
        <v>45.5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20219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105540</v>
      </c>
      <c r="D39" s="182">
        <f t="shared" si="1"/>
        <v>2.8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3730631.7800000003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Middleton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2018-09-05T18:00:33Z</cp:lastPrinted>
  <dcterms:created xsi:type="dcterms:W3CDTF">1997-12-04T19:04:30Z</dcterms:created>
  <dcterms:modified xsi:type="dcterms:W3CDTF">2018-11-30T15:35:46Z</dcterms:modified>
</cp:coreProperties>
</file>