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5200" windowHeight="1198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9" i="1" l="1"/>
  <c r="I507" i="1" l="1"/>
  <c r="C45" i="2" l="1"/>
  <c r="F51" i="1"/>
  <c r="C37" i="10" l="1"/>
  <c r="F40" i="2" l="1"/>
  <c r="D39" i="2"/>
  <c r="G655" i="1"/>
  <c r="F48" i="2"/>
  <c r="E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C18" i="10" s="1"/>
  <c r="F14" i="13"/>
  <c r="D14" i="13" s="1"/>
  <c r="C14" i="13" s="1"/>
  <c r="G14" i="13"/>
  <c r="L207" i="1"/>
  <c r="L225" i="1"/>
  <c r="L243" i="1"/>
  <c r="F15" i="13"/>
  <c r="G15" i="13"/>
  <c r="L208" i="1"/>
  <c r="H647" i="1" s="1"/>
  <c r="L226" i="1"/>
  <c r="G650" i="1" s="1"/>
  <c r="L244" i="1"/>
  <c r="F17" i="13"/>
  <c r="G17" i="13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H661" i="1" s="1"/>
  <c r="I367" i="1"/>
  <c r="I369" i="1" s="1"/>
  <c r="H634" i="1" s="1"/>
  <c r="J290" i="1"/>
  <c r="J309" i="1"/>
  <c r="J328" i="1"/>
  <c r="K290" i="1"/>
  <c r="K309" i="1"/>
  <c r="K328" i="1"/>
  <c r="L276" i="1"/>
  <c r="C10" i="10" s="1"/>
  <c r="L277" i="1"/>
  <c r="C11" i="10" s="1"/>
  <c r="L278" i="1"/>
  <c r="L279" i="1"/>
  <c r="L281" i="1"/>
  <c r="E118" i="2" s="1"/>
  <c r="L282" i="1"/>
  <c r="E119" i="2" s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20" i="10"/>
  <c r="L250" i="1"/>
  <c r="L332" i="1"/>
  <c r="L254" i="1"/>
  <c r="L268" i="1"/>
  <c r="L269" i="1"/>
  <c r="L349" i="1"/>
  <c r="C26" i="10" s="1"/>
  <c r="L350" i="1"/>
  <c r="I665" i="1"/>
  <c r="I670" i="1"/>
  <c r="G661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1" i="2"/>
  <c r="E112" i="2"/>
  <c r="C113" i="2"/>
  <c r="E113" i="2"/>
  <c r="C114" i="2"/>
  <c r="D115" i="2"/>
  <c r="F115" i="2"/>
  <c r="G115" i="2"/>
  <c r="E120" i="2"/>
  <c r="C121" i="2"/>
  <c r="E121" i="2"/>
  <c r="C123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H32" i="1"/>
  <c r="I32" i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1" i="1"/>
  <c r="H641" i="1"/>
  <c r="J641" i="1" s="1"/>
  <c r="G643" i="1"/>
  <c r="H643" i="1"/>
  <c r="J643" i="1" s="1"/>
  <c r="G644" i="1"/>
  <c r="G651" i="1"/>
  <c r="G652" i="1"/>
  <c r="H652" i="1"/>
  <c r="G653" i="1"/>
  <c r="H653" i="1"/>
  <c r="G654" i="1"/>
  <c r="H654" i="1"/>
  <c r="H655" i="1"/>
  <c r="F192" i="1"/>
  <c r="L328" i="1"/>
  <c r="L351" i="1"/>
  <c r="C70" i="2"/>
  <c r="D18" i="13"/>
  <c r="C18" i="13" s="1"/>
  <c r="D18" i="2"/>
  <c r="D17" i="13"/>
  <c r="C17" i="13" s="1"/>
  <c r="F78" i="2"/>
  <c r="F81" i="2" s="1"/>
  <c r="G157" i="2"/>
  <c r="G156" i="2"/>
  <c r="D91" i="2"/>
  <c r="G62" i="2"/>
  <c r="E78" i="2"/>
  <c r="E81" i="2" s="1"/>
  <c r="F112" i="1"/>
  <c r="J571" i="1"/>
  <c r="D81" i="2"/>
  <c r="I169" i="1"/>
  <c r="G338" i="1"/>
  <c r="G352" i="1" s="1"/>
  <c r="J140" i="1"/>
  <c r="I552" i="1"/>
  <c r="G22" i="2"/>
  <c r="J552" i="1"/>
  <c r="H552" i="1"/>
  <c r="C29" i="10"/>
  <c r="H140" i="1"/>
  <c r="L401" i="1"/>
  <c r="C139" i="2" s="1"/>
  <c r="H571" i="1"/>
  <c r="F338" i="1"/>
  <c r="F352" i="1" s="1"/>
  <c r="G192" i="1"/>
  <c r="J655" i="1"/>
  <c r="I571" i="1"/>
  <c r="G36" i="2"/>
  <c r="L565" i="1"/>
  <c r="G545" i="1"/>
  <c r="G49" i="1" l="1"/>
  <c r="G51" i="1" s="1"/>
  <c r="G623" i="1" s="1"/>
  <c r="H52" i="1"/>
  <c r="H619" i="1" s="1"/>
  <c r="J622" i="1"/>
  <c r="K500" i="1"/>
  <c r="A40" i="12"/>
  <c r="A13" i="12"/>
  <c r="C125" i="2"/>
  <c r="G645" i="1"/>
  <c r="J645" i="1"/>
  <c r="J640" i="1"/>
  <c r="J639" i="1"/>
  <c r="I408" i="1"/>
  <c r="I446" i="1"/>
  <c r="G642" i="1" s="1"/>
  <c r="H408" i="1"/>
  <c r="H644" i="1" s="1"/>
  <c r="J644" i="1" s="1"/>
  <c r="E31" i="2"/>
  <c r="J651" i="1"/>
  <c r="K598" i="1"/>
  <c r="G647" i="1" s="1"/>
  <c r="J647" i="1" s="1"/>
  <c r="K551" i="1"/>
  <c r="F552" i="1"/>
  <c r="L524" i="1"/>
  <c r="H545" i="1"/>
  <c r="K550" i="1"/>
  <c r="J545" i="1"/>
  <c r="K549" i="1"/>
  <c r="K552" i="1" s="1"/>
  <c r="I476" i="1"/>
  <c r="H625" i="1" s="1"/>
  <c r="H476" i="1"/>
  <c r="H624" i="1" s="1"/>
  <c r="J624" i="1" s="1"/>
  <c r="F130" i="2"/>
  <c r="F144" i="2" s="1"/>
  <c r="F145" i="2" s="1"/>
  <c r="J634" i="1"/>
  <c r="K338" i="1"/>
  <c r="E110" i="2"/>
  <c r="H617" i="1"/>
  <c r="J617" i="1" s="1"/>
  <c r="C132" i="2"/>
  <c r="L270" i="1"/>
  <c r="H25" i="13"/>
  <c r="L256" i="1"/>
  <c r="C112" i="2"/>
  <c r="L247" i="1"/>
  <c r="H660" i="1" s="1"/>
  <c r="H664" i="1" s="1"/>
  <c r="H667" i="1" s="1"/>
  <c r="J257" i="1"/>
  <c r="J271" i="1" s="1"/>
  <c r="C21" i="10"/>
  <c r="G662" i="1"/>
  <c r="C118" i="2"/>
  <c r="L229" i="1"/>
  <c r="G660" i="1" s="1"/>
  <c r="G664" i="1" s="1"/>
  <c r="K257" i="1"/>
  <c r="K271" i="1" s="1"/>
  <c r="G257" i="1"/>
  <c r="G271" i="1" s="1"/>
  <c r="C17" i="10"/>
  <c r="C16" i="10"/>
  <c r="D7" i="13"/>
  <c r="C7" i="13" s="1"/>
  <c r="L211" i="1"/>
  <c r="C13" i="10"/>
  <c r="D5" i="13"/>
  <c r="C5" i="13" s="1"/>
  <c r="I257" i="1"/>
  <c r="I271" i="1" s="1"/>
  <c r="H257" i="1"/>
  <c r="H271" i="1" s="1"/>
  <c r="C91" i="2"/>
  <c r="C35" i="10"/>
  <c r="D48" i="2"/>
  <c r="D50" i="2" s="1"/>
  <c r="D51" i="2" s="1"/>
  <c r="J623" i="1"/>
  <c r="C18" i="2"/>
  <c r="E128" i="2"/>
  <c r="C115" i="2"/>
  <c r="C81" i="2"/>
  <c r="F22" i="13"/>
  <c r="C22" i="13" s="1"/>
  <c r="G552" i="1"/>
  <c r="H112" i="1"/>
  <c r="D29" i="13"/>
  <c r="C29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E115" i="2" s="1"/>
  <c r="C62" i="2"/>
  <c r="C63" i="2" s="1"/>
  <c r="F661" i="1"/>
  <c r="I661" i="1" s="1"/>
  <c r="C19" i="10"/>
  <c r="C15" i="10"/>
  <c r="E13" i="13"/>
  <c r="C13" i="13" s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F662" i="1"/>
  <c r="I662" i="1" s="1"/>
  <c r="G625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J652" i="1"/>
  <c r="J642" i="1"/>
  <c r="G571" i="1"/>
  <c r="I434" i="1"/>
  <c r="G434" i="1"/>
  <c r="I663" i="1"/>
  <c r="C27" i="10"/>
  <c r="G635" i="1"/>
  <c r="J635" i="1" s="1"/>
  <c r="G52" i="1" l="1"/>
  <c r="H618" i="1" s="1"/>
  <c r="J618" i="1" s="1"/>
  <c r="J625" i="1"/>
  <c r="I193" i="1"/>
  <c r="G630" i="1" s="1"/>
  <c r="J630" i="1" s="1"/>
  <c r="F104" i="2"/>
  <c r="F51" i="2"/>
  <c r="H648" i="1"/>
  <c r="J648" i="1" s="1"/>
  <c r="F660" i="1"/>
  <c r="I660" i="1" s="1"/>
  <c r="I664" i="1" s="1"/>
  <c r="I672" i="1" s="1"/>
  <c r="C7" i="10" s="1"/>
  <c r="G104" i="2"/>
  <c r="H646" i="1"/>
  <c r="J646" i="1" s="1"/>
  <c r="E145" i="2"/>
  <c r="D31" i="13"/>
  <c r="C31" i="13" s="1"/>
  <c r="C25" i="13"/>
  <c r="H33" i="13"/>
  <c r="G672" i="1"/>
  <c r="C5" i="10" s="1"/>
  <c r="G667" i="1"/>
  <c r="L257" i="1"/>
  <c r="L271" i="1" s="1"/>
  <c r="G632" i="1" s="1"/>
  <c r="J632" i="1" s="1"/>
  <c r="C128" i="2"/>
  <c r="C145" i="2" s="1"/>
  <c r="E33" i="13"/>
  <c r="D35" i="13" s="1"/>
  <c r="C104" i="2"/>
  <c r="H672" i="1"/>
  <c r="C6" i="10" s="1"/>
  <c r="L545" i="1"/>
  <c r="C28" i="10"/>
  <c r="D22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64" i="1" l="1"/>
  <c r="D18" i="10"/>
  <c r="D17" i="10"/>
  <c r="D12" i="10"/>
  <c r="D27" i="10"/>
  <c r="D24" i="10"/>
  <c r="D10" i="10"/>
  <c r="F672" i="1"/>
  <c r="C4" i="10" s="1"/>
  <c r="F667" i="1"/>
  <c r="D15" i="10"/>
  <c r="D25" i="10"/>
  <c r="D19" i="10"/>
  <c r="D26" i="10"/>
  <c r="C30" i="10"/>
  <c r="D16" i="10"/>
  <c r="D23" i="10"/>
  <c r="D20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<sst xmlns="http://schemas.openxmlformats.org/spreadsheetml/2006/main" count="3959" uniqueCount="915">
  <si>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</si>
  <si>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</si>
  <si>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</si>
  <si>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</si>
  <si>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</si>
  <si>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</si>
  <si>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</si>
  <si>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</si>
  <si>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</si>
  <si>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</si>
  <si>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</si>
  <si>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</si>
  <si>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</si>
  <si>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</si>
  <si>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</si>
  <si>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</si>
  <si>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</si>
  <si>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</si>
  <si>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</si>
  <si>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</si>
  <si>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</si>
  <si>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</si>
  <si>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</si>
  <si>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</si>
  <si>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</si>
  <si>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</si>
  <si>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</si>
  <si>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</si>
  <si>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</si>
  <si>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</si>
  <si>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</si>
  <si>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</si>
  <si>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</si>
  <si>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</si>
  <si>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</si>
  <si>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</si>
  <si>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</si>
  <si>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</si>
  <si>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</si>
  <si>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</si>
  <si>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</si>
  <si>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</si>
  <si>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</si>
  <si>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</si>
  <si>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</si>
  <si>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</si>
  <si>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</si>
  <si>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</si>
  <si>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</si>
  <si>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</si>
  <si>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</si>
  <si>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</si>
  <si>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</si>
  <si>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</si>
  <si>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</si>
  <si>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</si>
  <si>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</si>
  <si>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</si>
  <si>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</si>
  <si>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</si>
  <si>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</si>
  <si>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</si>
  <si>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</si>
  <si>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</si>
  <si>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</si>
  <si>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</si>
  <si>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</si>
  <si>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</si>
  <si>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</si>
  <si>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</si>
  <si>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</si>
  <si>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</si>
  <si>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</si>
  <si>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</si>
  <si>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</si>
  <si>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</si>
  <si>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</si>
  <si>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</si>
  <si>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</si>
  <si>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</si>
  <si>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</si>
  <si>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</si>
  <si>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</si>
  <si>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</si>
  <si>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</si>
  <si>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</si>
  <si>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</si>
  <si>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</si>
  <si>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</si>
  <si>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</si>
  <si>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</si>
  <si>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</si>
  <si>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</si>
  <si>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</si>
  <si>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</si>
  <si>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</si>
  <si>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</si>
  <si>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</si>
  <si>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</si>
  <si>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</si>
  <si>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</si>
  <si>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</si>
  <si>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</si>
  <si>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</si>
  <si>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</si>
  <si>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</si>
  <si>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</si>
  <si>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</si>
  <si>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</si>
  <si>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</si>
  <si>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</si>
  <si>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</si>
  <si>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</si>
  <si>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</si>
  <si>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</si>
  <si>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</si>
  <si>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</si>
  <si>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</si>
  <si>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</si>
  <si>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</si>
  <si>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</si>
  <si>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</si>
  <si>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</si>
  <si>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</si>
  <si>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</si>
  <si>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</si>
  <si>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</si>
  <si>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</si>
  <si>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</si>
  <si>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</si>
  <si>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</si>
  <si>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</si>
  <si>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</si>
  <si>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</si>
  <si>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</si>
  <si>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</si>
  <si>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</si>
  <si>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</si>
  <si>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</si>
  <si>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</si>
  <si>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</si>
  <si>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</si>
  <si>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</si>
  <si>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</si>
  <si>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</si>
  <si>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</si>
  <si>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</si>
  <si>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</si>
  <si>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</si>
  <si>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</si>
  <si>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</si>
  <si>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</si>
  <si>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</si>
  <si>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</si>
  <si>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</si>
  <si>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</si>
  <si>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</si>
  <si>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</si>
  <si>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</si>
  <si>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</si>
  <si>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</si>
  <si>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</si>
  <si>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</si>
  <si>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</si>
  <si>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</si>
  <si>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</si>
  <si>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</si>
  <si>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</si>
  <si>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</si>
  <si>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</si>
  <si>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</si>
  <si>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</si>
  <si>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</si>
  <si>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</si>
  <si>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</si>
  <si>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</si>
  <si>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</si>
  <si>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</si>
  <si>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</si>
  <si>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</si>
  <si>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</si>
  <si>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</si>
  <si>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</si>
  <si>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</si>
  <si>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</si>
  <si>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</si>
  <si>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</si>
  <si>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</si>
  <si>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</si>
  <si>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</si>
  <si>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</si>
  <si>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</si>
  <si>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</si>
  <si>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</si>
  <si>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</si>
  <si>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</si>
  <si>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</si>
  <si>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</si>
  <si>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</si>
  <si>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</si>
  <si>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</si>
  <si>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</si>
  <si>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</si>
  <si>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</si>
  <si>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</si>
  <si>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</si>
  <si>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</si>
  <si>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</si>
  <si>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</si>
  <si>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</si>
  <si>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</si>
  <si>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</si>
  <si>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</si>
  <si>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</si>
  <si>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</si>
  <si>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</si>
  <si>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</si>
  <si>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</si>
  <si>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</si>
  <si>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</si>
  <si>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</si>
  <si>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</si>
  <si>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</si>
  <si>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</si>
  <si>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</si>
  <si>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</si>
  <si>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</si>
  <si>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</si>
  <si>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</si>
  <si>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</si>
  <si>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</si>
  <si>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</si>
  <si>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</si>
  <si>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</si>
  <si>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</si>
  <si>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</si>
  <si>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</si>
  <si>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</si>
  <si>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</si>
  <si>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</si>
  <si>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</si>
  <si>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</si>
  <si>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</si>
  <si>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</si>
  <si>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</si>
  <si>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</si>
  <si>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</si>
  <si>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</si>
  <si>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</si>
  <si>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</si>
  <si>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</si>
  <si>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</si>
  <si>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</si>
  <si>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</si>
  <si>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</si>
  <si>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</si>
  <si>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</si>
  <si>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</si>
  <si>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</si>
  <si>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</si>
  <si>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</si>
  <si>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</si>
  <si>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</si>
  <si>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</si>
  <si>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</si>
  <si>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</si>
  <si>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</si>
  <si>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</si>
  <si>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</si>
  <si>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</si>
  <si>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</si>
  <si>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</si>
  <si>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</si>
  <si>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</si>
  <si>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</si>
  <si>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</si>
  <si>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</si>
  <si>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</si>
  <si>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</si>
  <si>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</si>
  <si>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</si>
  <si>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</si>
  <si>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</si>
  <si>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</si>
  <si>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</si>
  <si>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</si>
  <si>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</si>
  <si>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</si>
  <si>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</si>
  <si>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</si>
  <si>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</si>
  <si>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</si>
  <si>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</si>
  <si>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</si>
  <si>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</si>
  <si>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</si>
  <si>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</si>
  <si>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</si>
  <si>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</si>
  <si>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</si>
  <si>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</si>
  <si>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</si>
  <si>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</si>
  <si>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</si>
  <si>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</si>
  <si>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</si>
  <si>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</si>
  <si>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</si>
  <si>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</si>
  <si>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</si>
  <si>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</si>
  <si>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</si>
  <si>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</si>
  <si>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</si>
  <si>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</si>
  <si>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</si>
  <si>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</si>
  <si>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</si>
  <si>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</si>
  <si>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</si>
  <si>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</si>
  <si>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</si>
  <si>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</si>
  <si>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</si>
  <si>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</si>
  <si>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</si>
  <si>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</si>
  <si>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</si>
  <si>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</si>
  <si>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</si>
  <si>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</si>
  <si>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</si>
  <si>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</si>
  <si>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</si>
  <si>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</si>
  <si>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</si>
  <si>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</si>
  <si>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</si>
  <si>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</si>
  <si>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</si>
  <si>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</si>
  <si>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</si>
  <si>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</si>
  <si>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</si>
  <si>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</si>
  <si>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</si>
  <si>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</si>
  <si>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</si>
  <si>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</si>
  <si>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</si>
  <si>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</si>
  <si>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</si>
  <si>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</si>
  <si>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</si>
  <si>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</si>
  <si>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</si>
  <si>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</si>
  <si>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</si>
  <si>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</si>
  <si>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</si>
  <si>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</si>
  <si>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</si>
  <si>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</si>
  <si>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</si>
  <si>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</si>
  <si>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</si>
  <si>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</si>
  <si>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</si>
  <si>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</si>
  <si>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</si>
  <si>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</si>
  <si>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</si>
  <si>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</si>
  <si>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</si>
  <si>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</si>
  <si>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</si>
  <si>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</si>
  <si>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</si>
  <si>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</si>
  <si>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</si>
  <si>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</si>
  <si>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</si>
  <si>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</si>
  <si>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</si>
  <si>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</si>
  <si>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</si>
  <si>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</si>
  <si>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</si>
  <si>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</si>
  <si>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</si>
  <si>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</si>
  <si>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</si>
  <si>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</si>
  <si>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</si>
  <si>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</si>
  <si>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</si>
  <si>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</si>
  <si>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</si>
  <si>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</si>
  <si>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</si>
  <si>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</si>
  <si>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</si>
  <si>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</si>
  <si>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</si>
  <si>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</si>
  <si>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</si>
  <si>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</si>
  <si>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</si>
  <si>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</si>
  <si>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</si>
  <si>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</si>
  <si>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</si>
  <si>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</si>
  <si>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</si>
  <si>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</si>
  <si>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</si>
  <si>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</si>
  <si>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</si>
  <si>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</si>
  <si>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</si>
  <si>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</si>
  <si>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</si>
  <si>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</si>
  <si>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</si>
  <si>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</si>
  <si>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</si>
  <si>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</si>
  <si>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</si>
  <si>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</si>
  <si>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</si>
  <si>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</si>
  <si>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</si>
  <si>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</si>
  <si>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</si>
  <si>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</si>
  <si>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</si>
  <si>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</si>
  <si>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</si>
  <si>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</si>
  <si>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</si>
  <si>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</si>
  <si>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</si>
  <si>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</si>
  <si>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</si>
  <si>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</si>
  <si>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</si>
  <si>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</si>
  <si>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</si>
  <si>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</si>
  <si>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</si>
  <si>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</si>
  <si>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</si>
  <si>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</si>
  <si>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</si>
  <si>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</si>
  <si>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</si>
  <si>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</si>
  <si>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</si>
  <si>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</si>
  <si>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</si>
  <si>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</si>
  <si>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</si>
  <si>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</si>
  <si>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</si>
  <si>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</si>
  <si>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</si>
  <si>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</si>
  <si>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</si>
  <si>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</si>
  <si>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</si>
  <si>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</si>
  <si>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</si>
  <si>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</si>
  <si>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</si>
  <si>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</si>
  <si>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</si>
  <si>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</si>
  <si>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</si>
  <si>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</si>
  <si>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</si>
  <si>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</si>
  <si>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</si>
  <si>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</si>
  <si>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</si>
  <si>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</si>
  <si>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</si>
  <si>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</si>
  <si>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</si>
  <si>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</si>
  <si>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</si>
  <si>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</si>
  <si>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</si>
  <si>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</si>
  <si>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</si>
  <si>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</si>
  <si>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</si>
  <si>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</si>
  <si>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</si>
  <si>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</si>
  <si>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</si>
  <si>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</si>
  <si>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</si>
  <si>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</si>
  <si>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</si>
  <si>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</si>
  <si>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</si>
  <si>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</si>
  <si>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</si>
  <si>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</si>
  <si>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</si>
  <si>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</si>
  <si>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</si>
  <si>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</si>
  <si>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</si>
  <si>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</si>
  <si>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</si>
  <si>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</si>
  <si>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</si>
  <si>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</si>
  <si>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</si>
  <si>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</si>
  <si>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</si>
  <si>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</si>
  <si>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</si>
  <si>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</si>
  <si>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</si>
  <si>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</si>
  <si>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</si>
  <si>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</si>
  <si>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</si>
  <si>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</si>
  <si>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</si>
  <si>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</si>
  <si>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</si>
  <si>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</si>
  <si>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</si>
  <si>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</si>
  <si>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</si>
  <si>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</si>
  <si>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</si>
  <si>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</si>
  <si>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</si>
  <si>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</si>
  <si>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</si>
  <si>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</si>
  <si>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</si>
  <si>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</si>
  <si>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</si>
  <si>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</si>
  <si>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</si>
  <si>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</si>
  <si>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</si>
  <si>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</si>
  <si>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</si>
  <si>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</si>
  <si>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</si>
  <si>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</si>
  <si>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</si>
  <si>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</si>
  <si>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</si>
  <si>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</si>
  <si>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</si>
  <si>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</si>
  <si>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</si>
  <si>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</si>
  <si>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</si>
  <si>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</si>
  <si>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</si>
  <si>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</si>
  <si>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</si>
  <si>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</si>
  <si>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</si>
  <si>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</si>
  <si>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</si>
  <si>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</si>
  <si>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</si>
  <si>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</si>
  <si>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</si>
  <si>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</si>
  <si>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</si>
  <si>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</si>
  <si>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</si>
  <si>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</si>
  <si>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</si>
  <si>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</si>
  <si>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</si>
  <si>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</si>
  <si>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</si>
  <si>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</si>
  <si>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</si>
  <si>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</si>
  <si>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</si>
  <si>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</si>
  <si>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</si>
  <si>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</si>
  <si>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</si>
  <si>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</si>
  <si>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</si>
  <si>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</si>
  <si>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</si>
  <si>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</si>
  <si>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</si>
  <si>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</si>
  <si>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</si>
  <si>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</si>
  <si>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</si>
  <si>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</si>
  <si>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</si>
  <si>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</si>
  <si>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</si>
  <si>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</si>
  <si>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</si>
  <si>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</si>
  <si>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</si>
  <si>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</si>
  <si>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</si>
  <si>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</si>
  <si>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</si>
  <si>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</si>
  <si>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</si>
  <si>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</si>
  <si>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</si>
  <si>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</si>
  <si>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</si>
  <si>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</si>
  <si>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</si>
  <si>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</si>
  <si>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</si>
  <si>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</si>
  <si>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</si>
  <si>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</si>
  <si>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</si>
  <si>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</si>
  <si>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</si>
  <si>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</si>
  <si>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</si>
  <si>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</si>
  <si>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</si>
  <si>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</si>
  <si>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</si>
  <si>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</si>
  <si>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</si>
  <si>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</si>
  <si>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</si>
  <si>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</si>
  <si>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</si>
  <si>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</si>
  <si>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</si>
  <si>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</si>
  <si>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</si>
  <si>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</si>
  <si>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</si>
  <si>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</si>
  <si>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</si>
  <si>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</si>
  <si>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</si>
  <si>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</si>
  <si>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</si>
  <si>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</si>
  <si>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</si>
  <si>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</si>
  <si>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</si>
  <si>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</si>
  <si>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</si>
  <si>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</si>
  <si>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</si>
  <si>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</si>
  <si>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</si>
  <si>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</si>
  <si>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</si>
  <si>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</si>
  <si>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</si>
  <si>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</si>
  <si>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</si>
  <si>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</si>
  <si>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</si>
  <si>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</si>
  <si>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</si>
  <si>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</si>
  <si>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</si>
  <si>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</si>
  <si>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</si>
  <si>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</si>
  <si>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</si>
  <si>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</si>
  <si>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</si>
  <si>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</si>
  <si>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</si>
  <si>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</si>
  <si>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</si>
  <si>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</si>
  <si>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</si>
  <si>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</si>
  <si>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</si>
  <si>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</si>
  <si>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</si>
  <si>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</si>
  <si>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</si>
  <si>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</si>
  <si>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</si>
  <si>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</si>
  <si>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</si>
  <si>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</si>
  <si>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</si>
  <si>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</si>
  <si>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</si>
  <si>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</si>
  <si>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</si>
  <si>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</si>
  <si>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</si>
  <si>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</si>
  <si>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</si>
  <si>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</si>
  <si>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</si>
  <si>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</si>
  <si>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</si>
  <si>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</si>
  <si>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</si>
  <si>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</si>
  <si>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</si>
  <si>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</si>
  <si>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</si>
  <si>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</si>
  <si>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</si>
  <si>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</si>
  <si>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</si>
  <si>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</si>
  <si>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</si>
  <si>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</si>
  <si>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</si>
  <si>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</si>
  <si>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</si>
  <si>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</si>
  <si>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</si>
  <si>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</si>
  <si>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</si>
  <si>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</si>
  <si>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</si>
  <si>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</si>
  <si>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</si>
  <si>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</si>
  <si>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</si>
  <si>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</si>
  <si>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</si>
  <si>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</si>
  <si>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</si>
  <si>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</si>
  <si>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</si>
  <si>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</si>
  <si>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</si>
  <si>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</si>
  <si>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</si>
  <si>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</si>
  <si>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</si>
  <si>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</si>
  <si>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</si>
  <si>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</si>
  <si>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</si>
  <si>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</si>
  <si>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</si>
  <si>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</si>
  <si>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</si>
  <si>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</si>
  <si>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</si>
  <si>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</si>
  <si>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</si>
  <si>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</si>
  <si>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</si>
  <si>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</si>
  <si>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</si>
  <si>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</si>
  <si>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</si>
  <si>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</si>
  <si>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</si>
  <si>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</si>
  <si>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</si>
  <si>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</si>
  <si>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</si>
  <si>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</si>
  <si>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</si>
  <si>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</si>
  <si>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</si>
  <si>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</si>
  <si>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</si>
  <si>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</si>
  <si>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</si>
  <si>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</si>
  <si>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</si>
  <si>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</si>
  <si>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</si>
  <si>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</si>
  <si>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</si>
  <si>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</si>
  <si>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</si>
  <si>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</si>
  <si>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</si>
  <si>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</si>
  <si>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</si>
  <si>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</si>
  <si>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</si>
  <si>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</si>
  <si>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</si>
  <si>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</si>
  <si>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</si>
  <si>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</si>
  <si>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</si>
  <si>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</si>
  <si>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</si>
  <si>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</si>
  <si>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</si>
  <si>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</si>
  <si>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</si>
  <si>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</si>
  <si>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</si>
  <si>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</si>
  <si>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</si>
  <si>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</si>
  <si>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</si>
  <si>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</si>
  <si>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</si>
  <si>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</si>
  <si>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</si>
  <si>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</si>
  <si>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</si>
  <si>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</si>
  <si>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</si>
  <si>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</si>
  <si>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</si>
  <si>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</si>
  <si>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</si>
  <si>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</si>
  <si>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</si>
  <si>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</si>
  <si>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</si>
  <si>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</si>
  <si>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</si>
  <si>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</si>
  <si>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</si>
  <si>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</si>
  <si>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</si>
  <si>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</si>
  <si>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</si>
  <si>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</si>
  <si>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</si>
  <si>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</si>
  <si>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</si>
  <si>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</si>
  <si>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</si>
  <si>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</si>
  <si>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</si>
  <si>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</si>
  <si>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</si>
  <si>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</si>
  <si>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</si>
  <si>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</si>
  <si>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</si>
  <si>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</si>
  <si>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</si>
  <si>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</si>
  <si>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</si>
  <si>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</si>
  <si>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</si>
  <si>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</si>
  <si>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</si>
  <si>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</si>
  <si>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</si>
  <si>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</si>
  <si>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</si>
  <si>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</si>
  <si>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</si>
  <si>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</si>
  <si>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</si>
  <si>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</si>
  <si>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</si>
  <si>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</si>
  <si>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</si>
  <si>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</si>
  <si>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</si>
  <si>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</si>
  <si>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</si>
  <si>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</si>
  <si>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</si>
  <si>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</si>
  <si>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</si>
  <si>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</si>
  <si>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</si>
  <si>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</si>
  <si>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</si>
  <si>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</si>
  <si>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</si>
  <si>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</si>
  <si>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</si>
  <si>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</si>
  <si>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</si>
  <si>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</si>
  <si>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</si>
  <si>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</si>
  <si>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</si>
  <si>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</si>
  <si>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</si>
  <si>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</si>
  <si>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</si>
  <si>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</si>
  <si>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</si>
  <si>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</si>
  <si>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</si>
  <si>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</si>
  <si>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</si>
  <si>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</si>
  <si>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</si>
  <si>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</si>
  <si>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</si>
  <si>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06/2002</t>
  </si>
  <si>
    <t>07/2017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</si>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</sst>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355</v>
      </c>
      <c r="C2" s="21">
        <v>355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32268.21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112958.01</v>
      </c>
      <c r="G10" s="18"/>
      <c r="H10" s="18"/>
      <c r="I10" s="18"/>
      <c r="J10" s="67">
        <f>SUM(I440)</f>
        <v>343214.76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65501.34</v>
      </c>
      <c r="G12" s="18"/>
      <c r="H12" s="18"/>
      <c r="I12" s="18"/>
      <c r="J12" s="67">
        <f>SUM(I441)</f>
        <v>4483.75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72583.429999999993</v>
      </c>
      <c r="G13" s="18">
        <v>5539.94</v>
      </c>
      <c r="H13" s="18">
        <v>55136.63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2290.23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285601.21999999997</v>
      </c>
      <c r="G19" s="41">
        <f>SUM(G9:G18)</f>
        <v>5539.94</v>
      </c>
      <c r="H19" s="41">
        <f>SUM(H9:H18)</f>
        <v>55136.63</v>
      </c>
      <c r="I19" s="41">
        <f>SUM(I9:I18)</f>
        <v>0</v>
      </c>
      <c r="J19" s="41">
        <f>SUM(J9:J18)</f>
        <v>347698.51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2627.25</v>
      </c>
      <c r="H22" s="18">
        <v>45719.4</v>
      </c>
      <c r="I22" s="18">
        <v>21638.44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2834.1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12860.79</v>
      </c>
      <c r="G24" s="18">
        <v>2528</v>
      </c>
      <c r="H24" s="18">
        <v>454.09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200-74.1+10109.53</f>
        <v>10235.43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6129.04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23096.22</v>
      </c>
      <c r="G32" s="41">
        <f>SUM(G22:G31)</f>
        <v>5155.25</v>
      </c>
      <c r="H32" s="41">
        <f>SUM(H22:H31)</f>
        <v>55136.63</v>
      </c>
      <c r="I32" s="41">
        <f>SUM(I22:I31)</f>
        <v>21638.44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384.69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47159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>
        <v>-21638.44</v>
      </c>
      <c r="J48" s="13">
        <f>SUM(I459)</f>
        <v>347698.51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>
        <f>F52-F19</f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215346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262505</v>
      </c>
      <c r="G51" s="41">
        <f>SUM(G35:G50)</f>
        <v>384.69</v>
      </c>
      <c r="H51" s="41">
        <f>SUM(H35:H50)</f>
        <v>0</v>
      </c>
      <c r="I51" s="41">
        <f>SUM(I35:I50)</f>
        <v>-21638.44</v>
      </c>
      <c r="J51" s="41">
        <f>SUM(J35:J50)</f>
        <v>347698.51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285601.21999999997</v>
      </c>
      <c r="G52" s="41">
        <f>G51+G32</f>
        <v>5539.94</v>
      </c>
      <c r="H52" s="41">
        <f>H51+H32</f>
        <v>55136.63</v>
      </c>
      <c r="I52" s="41">
        <f>I51+I32</f>
        <v>0</v>
      </c>
      <c r="J52" s="41">
        <f>J51+J32</f>
        <v>347698.51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1666334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1666334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110650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110650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7500.11</v>
      </c>
      <c r="G96" s="18"/>
      <c r="H96" s="18"/>
      <c r="I96" s="18"/>
      <c r="J96" s="18">
        <v>4296.12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22525.84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7000</v>
      </c>
      <c r="G99" s="18">
        <v>142</v>
      </c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2654.59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29004.84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5643.44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215.3</v>
      </c>
      <c r="G110" s="18"/>
      <c r="H110" s="18"/>
      <c r="I110" s="18"/>
      <c r="J110" s="18">
        <v>1050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49363.69</v>
      </c>
      <c r="G111" s="41">
        <f>SUM(G96:G110)</f>
        <v>22667.84</v>
      </c>
      <c r="H111" s="41">
        <f>SUM(H96:H110)</f>
        <v>2654.59</v>
      </c>
      <c r="I111" s="41">
        <f>SUM(I96:I110)</f>
        <v>0</v>
      </c>
      <c r="J111" s="41">
        <f>SUM(J96:J110)</f>
        <v>5346.12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1826347.69</v>
      </c>
      <c r="G112" s="41">
        <f>G60+G111</f>
        <v>22667.84</v>
      </c>
      <c r="H112" s="41">
        <f>H60+H79+H94+H111</f>
        <v>2654.59</v>
      </c>
      <c r="I112" s="41">
        <f>I60+I111</f>
        <v>0</v>
      </c>
      <c r="J112" s="41">
        <f>J60+J111</f>
        <v>5346.12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1088701.23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220019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1308720.23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76251.360000000001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696.77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913.48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76948.13</v>
      </c>
      <c r="G136" s="41">
        <f>SUM(G123:G135)</f>
        <v>913.48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1385668.3599999999</v>
      </c>
      <c r="G140" s="41">
        <f>G121+SUM(G136:G137)</f>
        <v>913.48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3071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25155.74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11631.67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31268.57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35989.68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29794.49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4122.6000000000004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29794.49</v>
      </c>
      <c r="G162" s="41">
        <f>SUM(G150:G161)</f>
        <v>35391.17</v>
      </c>
      <c r="H162" s="41">
        <f>SUM(H150:H161)</f>
        <v>75848.09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7451.87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37246.36</v>
      </c>
      <c r="G169" s="41">
        <f>G147+G162+SUM(G163:G168)</f>
        <v>35391.17</v>
      </c>
      <c r="H169" s="41">
        <f>H147+H162+SUM(H163:H168)</f>
        <v>75848.09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35000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3249262.4099999997</v>
      </c>
      <c r="G193" s="47">
        <f>G112+G140+G169+G192</f>
        <v>58972.49</v>
      </c>
      <c r="H193" s="47">
        <f>H112+H140+H169+H192</f>
        <v>78502.679999999993</v>
      </c>
      <c r="I193" s="47">
        <f>I112+I140+I169+I192</f>
        <v>0</v>
      </c>
      <c r="J193" s="47">
        <f>J112+J140+J192</f>
        <v>40346.120000000003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331490.13</v>
      </c>
      <c r="G197" s="18">
        <v>174282.53</v>
      </c>
      <c r="H197" s="18">
        <v>2618.44</v>
      </c>
      <c r="I197" s="18">
        <v>17344.339999999997</v>
      </c>
      <c r="J197" s="18">
        <v>16132.14</v>
      </c>
      <c r="K197" s="18">
        <v>625</v>
      </c>
      <c r="L197" s="19">
        <f>SUM(F197:K197)</f>
        <v>542492.58000000007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102724.28</v>
      </c>
      <c r="G198" s="18">
        <v>34959.880000000005</v>
      </c>
      <c r="H198" s="18"/>
      <c r="I198" s="18">
        <v>328.3</v>
      </c>
      <c r="J198" s="18">
        <v>473.66</v>
      </c>
      <c r="K198" s="18"/>
      <c r="L198" s="19">
        <f>SUM(F198:K198)</f>
        <v>138486.12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4648.5499999999993</v>
      </c>
      <c r="G200" s="18">
        <v>3033.44</v>
      </c>
      <c r="H200" s="18">
        <v>0</v>
      </c>
      <c r="I200" s="18">
        <v>43.8</v>
      </c>
      <c r="J200" s="18"/>
      <c r="K200" s="18">
        <v>0</v>
      </c>
      <c r="L200" s="19">
        <f>SUM(F200:K200)</f>
        <v>7725.79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50014.1</v>
      </c>
      <c r="G202" s="18">
        <v>26961.820000000003</v>
      </c>
      <c r="H202" s="18">
        <v>130044.81</v>
      </c>
      <c r="I202" s="18">
        <v>2545.73</v>
      </c>
      <c r="J202" s="18">
        <v>253.83</v>
      </c>
      <c r="K202" s="18">
        <v>219</v>
      </c>
      <c r="L202" s="19">
        <f t="shared" ref="L202:L208" si="0">SUM(F202:K202)</f>
        <v>210039.28999999998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24418.62</v>
      </c>
      <c r="G203" s="18">
        <v>2490.46</v>
      </c>
      <c r="H203" s="18">
        <v>8803.369999999999</v>
      </c>
      <c r="I203" s="18">
        <v>1166.47</v>
      </c>
      <c r="J203" s="18">
        <v>5223.2199999999993</v>
      </c>
      <c r="K203" s="18"/>
      <c r="L203" s="19">
        <f t="shared" si="0"/>
        <v>42102.14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1404.2301096502626</v>
      </c>
      <c r="G204" s="18">
        <v>116.37557033726551</v>
      </c>
      <c r="H204" s="18">
        <v>87757.47772176897</v>
      </c>
      <c r="I204" s="18">
        <v>219.70350257236399</v>
      </c>
      <c r="J204" s="18"/>
      <c r="K204" s="18">
        <v>2479.2969796809234</v>
      </c>
      <c r="L204" s="19">
        <f t="shared" si="0"/>
        <v>91977.083884009771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83823.97</v>
      </c>
      <c r="G205" s="18">
        <v>41749.759999999995</v>
      </c>
      <c r="H205" s="18">
        <v>3649.2400000000002</v>
      </c>
      <c r="I205" s="18">
        <v>2495.9099999999994</v>
      </c>
      <c r="J205" s="18"/>
      <c r="K205" s="18">
        <v>3321.7900000000004</v>
      </c>
      <c r="L205" s="19">
        <f t="shared" si="0"/>
        <v>135040.67000000001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64037.14</v>
      </c>
      <c r="G207" s="18">
        <v>29836.400000000001</v>
      </c>
      <c r="H207" s="18">
        <v>27105.45</v>
      </c>
      <c r="I207" s="18">
        <v>66236.78</v>
      </c>
      <c r="J207" s="18">
        <v>6567</v>
      </c>
      <c r="K207" s="18"/>
      <c r="L207" s="19">
        <f t="shared" si="0"/>
        <v>193782.77000000002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111472.20217582177</v>
      </c>
      <c r="I208" s="18">
        <v>7136.5037759973675</v>
      </c>
      <c r="J208" s="18"/>
      <c r="K208" s="18"/>
      <c r="L208" s="19">
        <f t="shared" si="0"/>
        <v>118608.70595181914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662561.02010965021</v>
      </c>
      <c r="G211" s="41">
        <f t="shared" si="1"/>
        <v>313430.66557033727</v>
      </c>
      <c r="H211" s="41">
        <f t="shared" si="1"/>
        <v>371450.98989759071</v>
      </c>
      <c r="I211" s="41">
        <f t="shared" si="1"/>
        <v>97517.537278569725</v>
      </c>
      <c r="J211" s="41">
        <f t="shared" si="1"/>
        <v>28649.85</v>
      </c>
      <c r="K211" s="41">
        <f t="shared" si="1"/>
        <v>6645.0869796809238</v>
      </c>
      <c r="L211" s="41">
        <f t="shared" si="1"/>
        <v>1480255.1498358289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403804.35</v>
      </c>
      <c r="I215" s="18"/>
      <c r="J215" s="18"/>
      <c r="K215" s="18"/>
      <c r="L215" s="19">
        <f>SUM(F215:K215)</f>
        <v>403804.35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>
        <v>3160.75</v>
      </c>
      <c r="I220" s="18"/>
      <c r="J220" s="18"/>
      <c r="K220" s="18"/>
      <c r="L220" s="19">
        <f t="shared" ref="L220:L226" si="2">SUM(F220:K220)</f>
        <v>3160.75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349.84150080548773</v>
      </c>
      <c r="G222" s="18">
        <v>28.993114379254795</v>
      </c>
      <c r="H222" s="18">
        <v>21863.373746297359</v>
      </c>
      <c r="I222" s="18">
        <v>54.735618146858599</v>
      </c>
      <c r="J222" s="18"/>
      <c r="K222" s="18">
        <v>617.67723847632908</v>
      </c>
      <c r="L222" s="19">
        <f t="shared" si="2"/>
        <v>22914.621218105291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42747.466388629749</v>
      </c>
      <c r="I226" s="18">
        <v>1955.0632963836911</v>
      </c>
      <c r="J226" s="18"/>
      <c r="K226" s="18"/>
      <c r="L226" s="19">
        <f t="shared" si="2"/>
        <v>44702.52968501344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349.84150080548773</v>
      </c>
      <c r="G229" s="41">
        <f>SUM(G215:G228)</f>
        <v>28.993114379254795</v>
      </c>
      <c r="H229" s="41">
        <f>SUM(H215:H228)</f>
        <v>471575.94013492711</v>
      </c>
      <c r="I229" s="41">
        <f>SUM(I215:I228)</f>
        <v>2009.7989145305496</v>
      </c>
      <c r="J229" s="41">
        <f>SUM(J215:J228)</f>
        <v>0</v>
      </c>
      <c r="K229" s="41">
        <f t="shared" si="3"/>
        <v>617.67723847632908</v>
      </c>
      <c r="L229" s="41">
        <f t="shared" si="3"/>
        <v>474582.25090311875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776584.22</v>
      </c>
      <c r="I233" s="18"/>
      <c r="J233" s="18"/>
      <c r="K233" s="18"/>
      <c r="L233" s="19">
        <f>SUM(F233:K233)</f>
        <v>776584.22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22464.76</v>
      </c>
      <c r="G234" s="18">
        <v>4353.05</v>
      </c>
      <c r="H234" s="18">
        <v>109859.65</v>
      </c>
      <c r="I234" s="18">
        <v>3069</v>
      </c>
      <c r="J234" s="18">
        <v>2439</v>
      </c>
      <c r="K234" s="18"/>
      <c r="L234" s="19">
        <f>SUM(F234:K234)</f>
        <v>142185.46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>
        <v>974.56999999999994</v>
      </c>
      <c r="I236" s="18"/>
      <c r="J236" s="18"/>
      <c r="K236" s="18"/>
      <c r="L236" s="19">
        <f>SUM(F236:K236)</f>
        <v>974.56999999999994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3684.1</v>
      </c>
      <c r="I238" s="18"/>
      <c r="J238" s="18"/>
      <c r="K238" s="18"/>
      <c r="L238" s="19">
        <f t="shared" ref="L238:L244" si="4">SUM(F238:K238)</f>
        <v>3684.1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>
        <v>0</v>
      </c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645.92838954424985</v>
      </c>
      <c r="G240" s="18">
        <v>53.531315283479707</v>
      </c>
      <c r="H240" s="18">
        <v>40367.348531933691</v>
      </c>
      <c r="I240" s="18">
        <v>101.06087928077743</v>
      </c>
      <c r="J240" s="18"/>
      <c r="K240" s="18">
        <v>1140.4457818427479</v>
      </c>
      <c r="L240" s="19">
        <f t="shared" si="4"/>
        <v>42308.314897884942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67120.081435548491</v>
      </c>
      <c r="I244" s="18">
        <v>3609.7229276189432</v>
      </c>
      <c r="J244" s="18"/>
      <c r="K244" s="18"/>
      <c r="L244" s="19">
        <f t="shared" si="4"/>
        <v>70729.804363167437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23110.688389544248</v>
      </c>
      <c r="G247" s="41">
        <f t="shared" si="5"/>
        <v>4406.5813152834799</v>
      </c>
      <c r="H247" s="41">
        <f t="shared" si="5"/>
        <v>998589.96996748215</v>
      </c>
      <c r="I247" s="41">
        <f t="shared" si="5"/>
        <v>6779.7838068997207</v>
      </c>
      <c r="J247" s="41">
        <f t="shared" si="5"/>
        <v>2439</v>
      </c>
      <c r="K247" s="41">
        <f t="shared" si="5"/>
        <v>1140.4457818427479</v>
      </c>
      <c r="L247" s="41">
        <f t="shared" si="5"/>
        <v>1036466.4692610523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2500</v>
      </c>
      <c r="G253" s="18">
        <v>214.03</v>
      </c>
      <c r="H253" s="18">
        <v>1055</v>
      </c>
      <c r="I253" s="18">
        <v>2086.02</v>
      </c>
      <c r="J253" s="18"/>
      <c r="K253" s="18">
        <v>240</v>
      </c>
      <c r="L253" s="19">
        <f t="shared" si="6"/>
        <v>6095.05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8783.2000000000007</v>
      </c>
      <c r="I255" s="18">
        <v>90</v>
      </c>
      <c r="J255" s="18">
        <v>828.24</v>
      </c>
      <c r="K255" s="18"/>
      <c r="L255" s="19">
        <f t="shared" si="6"/>
        <v>9701.44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2500</v>
      </c>
      <c r="G256" s="41">
        <f t="shared" si="7"/>
        <v>214.03</v>
      </c>
      <c r="H256" s="41">
        <f t="shared" si="7"/>
        <v>9838.2000000000007</v>
      </c>
      <c r="I256" s="41">
        <f t="shared" si="7"/>
        <v>2176.02</v>
      </c>
      <c r="J256" s="41">
        <f t="shared" si="7"/>
        <v>828.24</v>
      </c>
      <c r="K256" s="41">
        <f t="shared" si="7"/>
        <v>240</v>
      </c>
      <c r="L256" s="41">
        <f>SUM(F256:K256)</f>
        <v>15796.490000000002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688521.54999999993</v>
      </c>
      <c r="G257" s="41">
        <f t="shared" si="8"/>
        <v>318080.27</v>
      </c>
      <c r="H257" s="41">
        <f t="shared" si="8"/>
        <v>1851455.0999999999</v>
      </c>
      <c r="I257" s="41">
        <f t="shared" si="8"/>
        <v>108483.14</v>
      </c>
      <c r="J257" s="41">
        <f t="shared" si="8"/>
        <v>31917.09</v>
      </c>
      <c r="K257" s="41">
        <f t="shared" si="8"/>
        <v>8643.2100000000009</v>
      </c>
      <c r="L257" s="41">
        <f t="shared" si="8"/>
        <v>3007100.3600000003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170000</v>
      </c>
      <c r="L260" s="19">
        <f>SUM(F260:K260)</f>
        <v>170000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3825</v>
      </c>
      <c r="L261" s="19">
        <f>SUM(F261:K261)</f>
        <v>3825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35000</v>
      </c>
      <c r="L266" s="19">
        <f t="shared" si="9"/>
        <v>35000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208825</v>
      </c>
      <c r="L270" s="41">
        <f t="shared" si="9"/>
        <v>208825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688521.54999999993</v>
      </c>
      <c r="G271" s="42">
        <f t="shared" si="11"/>
        <v>318080.27</v>
      </c>
      <c r="H271" s="42">
        <f t="shared" si="11"/>
        <v>1851455.0999999999</v>
      </c>
      <c r="I271" s="42">
        <f t="shared" si="11"/>
        <v>108483.14</v>
      </c>
      <c r="J271" s="42">
        <f t="shared" si="11"/>
        <v>31917.09</v>
      </c>
      <c r="K271" s="42">
        <f t="shared" si="11"/>
        <v>217468.21</v>
      </c>
      <c r="L271" s="42">
        <f t="shared" si="11"/>
        <v>3215925.3600000003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31668.809999999998</v>
      </c>
      <c r="G276" s="18">
        <v>2583.75</v>
      </c>
      <c r="H276" s="18"/>
      <c r="I276" s="18"/>
      <c r="J276" s="18"/>
      <c r="K276" s="18"/>
      <c r="L276" s="19">
        <f>SUM(F276:K276)</f>
        <v>34252.559999999998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33878.689999999995</v>
      </c>
      <c r="G277" s="18"/>
      <c r="H277" s="18"/>
      <c r="I277" s="18"/>
      <c r="J277" s="18"/>
      <c r="K277" s="18"/>
      <c r="L277" s="19">
        <f>SUM(F277:K277)</f>
        <v>33878.689999999995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462.62</v>
      </c>
      <c r="I281" s="18"/>
      <c r="J281" s="18"/>
      <c r="K281" s="18"/>
      <c r="L281" s="19">
        <f t="shared" ref="L281:L287" si="12">SUM(F281:K281)</f>
        <v>462.62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3950</v>
      </c>
      <c r="G282" s="18">
        <v>987.89999999999986</v>
      </c>
      <c r="H282" s="18">
        <v>1150</v>
      </c>
      <c r="I282" s="18">
        <v>529.86</v>
      </c>
      <c r="J282" s="18"/>
      <c r="K282" s="18">
        <v>999.95</v>
      </c>
      <c r="L282" s="19">
        <f t="shared" si="12"/>
        <v>7617.7099999999991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69497.5</v>
      </c>
      <c r="G290" s="42">
        <f t="shared" si="13"/>
        <v>3571.6499999999996</v>
      </c>
      <c r="H290" s="42">
        <f t="shared" si="13"/>
        <v>1612.62</v>
      </c>
      <c r="I290" s="42">
        <f t="shared" si="13"/>
        <v>529.86</v>
      </c>
      <c r="J290" s="42">
        <f t="shared" si="13"/>
        <v>0</v>
      </c>
      <c r="K290" s="42">
        <f t="shared" si="13"/>
        <v>999.95</v>
      </c>
      <c r="L290" s="41">
        <f t="shared" si="13"/>
        <v>76211.579999999987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69497.5</v>
      </c>
      <c r="G338" s="41">
        <f t="shared" si="20"/>
        <v>3571.6499999999996</v>
      </c>
      <c r="H338" s="41">
        <f t="shared" si="20"/>
        <v>1612.62</v>
      </c>
      <c r="I338" s="41">
        <f t="shared" si="20"/>
        <v>529.86</v>
      </c>
      <c r="J338" s="41">
        <f t="shared" si="20"/>
        <v>0</v>
      </c>
      <c r="K338" s="41">
        <f t="shared" si="20"/>
        <v>999.95</v>
      </c>
      <c r="L338" s="41">
        <f t="shared" si="20"/>
        <v>76211.579999999987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2291.0999999999995</v>
      </c>
      <c r="L350" s="19">
        <f t="shared" si="21"/>
        <v>2291.0999999999995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2291.0999999999995</v>
      </c>
      <c r="L351" s="41">
        <f>SUM(L341:L350)</f>
        <v>2291.0999999999995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69497.5</v>
      </c>
      <c r="G352" s="41">
        <f>G338</f>
        <v>3571.6499999999996</v>
      </c>
      <c r="H352" s="41">
        <f>H338</f>
        <v>1612.62</v>
      </c>
      <c r="I352" s="41">
        <f>I338</f>
        <v>529.86</v>
      </c>
      <c r="J352" s="41">
        <f>J338</f>
        <v>0</v>
      </c>
      <c r="K352" s="47">
        <f>K338+K351</f>
        <v>3291.0499999999993</v>
      </c>
      <c r="L352" s="41">
        <f>L338+L351</f>
        <v>78502.679999999993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58209</v>
      </c>
      <c r="I358" s="18">
        <v>4122.6000000000004</v>
      </c>
      <c r="J358" s="18"/>
      <c r="K358" s="18"/>
      <c r="L358" s="13">
        <f>SUM(F358:K358)</f>
        <v>62331.6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58209</v>
      </c>
      <c r="I362" s="47">
        <f t="shared" si="22"/>
        <v>4122.6000000000004</v>
      </c>
      <c r="J362" s="47">
        <f t="shared" si="22"/>
        <v>0</v>
      </c>
      <c r="K362" s="47">
        <f t="shared" si="22"/>
        <v>0</v>
      </c>
      <c r="L362" s="47">
        <f t="shared" si="22"/>
        <v>62331.6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4122.6000000000004</v>
      </c>
      <c r="G367" s="18"/>
      <c r="H367" s="18"/>
      <c r="I367" s="56">
        <f>SUM(F367:H367)</f>
        <v>4122.6000000000004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4122.6000000000004</v>
      </c>
      <c r="G369" s="47">
        <f>SUM(G367:G368)</f>
        <v>0</v>
      </c>
      <c r="H369" s="47">
        <f>SUM(H367:H368)</f>
        <v>0</v>
      </c>
      <c r="I369" s="47">
        <f>SUM(I367:I368)</f>
        <v>4122.6000000000004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1475</v>
      </c>
      <c r="G379" s="18">
        <v>112.84</v>
      </c>
      <c r="H379" s="18">
        <v>20050.599999999999</v>
      </c>
      <c r="I379" s="18"/>
      <c r="J379" s="18"/>
      <c r="K379" s="18"/>
      <c r="L379" s="13">
        <f t="shared" si="23"/>
        <v>21638.44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1475</v>
      </c>
      <c r="G382" s="139">
        <f t="shared" ref="G382:L382" si="24">SUM(G374:G381)</f>
        <v>112.84</v>
      </c>
      <c r="H382" s="139">
        <f t="shared" si="24"/>
        <v>20050.599999999999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21638.44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35000</v>
      </c>
      <c r="H389" s="18">
        <v>1382.32</v>
      </c>
      <c r="I389" s="18"/>
      <c r="J389" s="24" t="s">
        <v>286</v>
      </c>
      <c r="K389" s="24" t="s">
        <v>286</v>
      </c>
      <c r="L389" s="56">
        <f t="shared" si="25"/>
        <v>36382.32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535.62</v>
      </c>
      <c r="I392" s="18"/>
      <c r="J392" s="24" t="s">
        <v>286</v>
      </c>
      <c r="K392" s="24" t="s">
        <v>286</v>
      </c>
      <c r="L392" s="56">
        <f t="shared" si="25"/>
        <v>535.62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35000</v>
      </c>
      <c r="H393" s="139">
        <f>SUM(H387:H392)</f>
        <v>1917.94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36917.94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2033</v>
      </c>
      <c r="I398" s="18"/>
      <c r="J398" s="24" t="s">
        <v>286</v>
      </c>
      <c r="K398" s="24" t="s">
        <v>286</v>
      </c>
      <c r="L398" s="56">
        <f t="shared" si="26"/>
        <v>2033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211.42</v>
      </c>
      <c r="I399" s="18"/>
      <c r="J399" s="24" t="s">
        <v>286</v>
      </c>
      <c r="K399" s="24" t="s">
        <v>286</v>
      </c>
      <c r="L399" s="56">
        <f t="shared" si="26"/>
        <v>211.42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133.76</v>
      </c>
      <c r="I400" s="18">
        <v>1050</v>
      </c>
      <c r="J400" s="24" t="s">
        <v>286</v>
      </c>
      <c r="K400" s="24" t="s">
        <v>286</v>
      </c>
      <c r="L400" s="56">
        <f t="shared" si="26"/>
        <v>1183.76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2378.1800000000003</v>
      </c>
      <c r="I401" s="47">
        <f>SUM(I395:I400)</f>
        <v>1050</v>
      </c>
      <c r="J401" s="45" t="s">
        <v>286</v>
      </c>
      <c r="K401" s="45" t="s">
        <v>286</v>
      </c>
      <c r="L401" s="47">
        <f>SUM(L395:L400)</f>
        <v>3428.1800000000003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35000</v>
      </c>
      <c r="H408" s="47">
        <f>H393+H401+H407</f>
        <v>4296.1200000000008</v>
      </c>
      <c r="I408" s="47">
        <f>I393+I401+I407</f>
        <v>1050</v>
      </c>
      <c r="J408" s="24" t="s">
        <v>286</v>
      </c>
      <c r="K408" s="24" t="s">
        <v>286</v>
      </c>
      <c r="L408" s="47">
        <f>L393+L401+L407</f>
        <v>40346.120000000003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160679.62</v>
      </c>
      <c r="G440" s="18">
        <v>182535.14</v>
      </c>
      <c r="H440" s="18"/>
      <c r="I440" s="56">
        <f t="shared" si="33"/>
        <v>343214.76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4483.75</v>
      </c>
      <c r="H441" s="18"/>
      <c r="I441" s="56">
        <f t="shared" si="33"/>
        <v>4483.75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160679.62</v>
      </c>
      <c r="G446" s="13">
        <f>SUM(G439:G445)</f>
        <v>187018.89</v>
      </c>
      <c r="H446" s="13">
        <f>SUM(H439:H445)</f>
        <v>0</v>
      </c>
      <c r="I446" s="13">
        <f>SUM(I439:I445)</f>
        <v>347698.51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160679.62</v>
      </c>
      <c r="G459" s="18">
        <v>187018.89</v>
      </c>
      <c r="H459" s="18"/>
      <c r="I459" s="56">
        <f t="shared" si="34"/>
        <v>347698.51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160679.62</v>
      </c>
      <c r="G460" s="83">
        <f>SUM(G454:G459)</f>
        <v>187018.89</v>
      </c>
      <c r="H460" s="83">
        <f>SUM(H454:H459)</f>
        <v>0</v>
      </c>
      <c r="I460" s="83">
        <f>SUM(I454:I459)</f>
        <v>347698.51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160679.62</v>
      </c>
      <c r="G461" s="42">
        <f>G452+G460</f>
        <v>187018.89</v>
      </c>
      <c r="H461" s="42">
        <f>H452+H460</f>
        <v>0</v>
      </c>
      <c r="I461" s="42">
        <f>I452+I460</f>
        <v>347698.51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229167.95</v>
      </c>
      <c r="G465" s="18">
        <v>3743.8</v>
      </c>
      <c r="H465" s="18">
        <v>0</v>
      </c>
      <c r="I465" s="18">
        <v>0</v>
      </c>
      <c r="J465" s="18">
        <v>307352.39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3249262.41</v>
      </c>
      <c r="G468" s="18">
        <v>58972.49</v>
      </c>
      <c r="H468" s="18">
        <v>78502.679999999993</v>
      </c>
      <c r="I468" s="18">
        <v>0</v>
      </c>
      <c r="J468" s="18">
        <v>40346.120000000003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3249262.41</v>
      </c>
      <c r="G470" s="53">
        <f>SUM(G468:G469)</f>
        <v>58972.49</v>
      </c>
      <c r="H470" s="53">
        <f>SUM(H468:H469)</f>
        <v>78502.679999999993</v>
      </c>
      <c r="I470" s="53">
        <f>SUM(I468:I469)</f>
        <v>0</v>
      </c>
      <c r="J470" s="53">
        <f>SUM(J468:J469)</f>
        <v>40346.120000000003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3215925.36</v>
      </c>
      <c r="G472" s="18">
        <v>62331.6</v>
      </c>
      <c r="H472" s="18">
        <v>78502.679999999993</v>
      </c>
      <c r="I472" s="18">
        <v>21638.44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3215925.36</v>
      </c>
      <c r="G474" s="53">
        <f>SUM(G472:G473)</f>
        <v>62331.6</v>
      </c>
      <c r="H474" s="53">
        <f>SUM(H472:H473)</f>
        <v>78502.679999999993</v>
      </c>
      <c r="I474" s="53">
        <f>SUM(I472:I473)</f>
        <v>21638.44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262505.00000000047</v>
      </c>
      <c r="G476" s="53">
        <f>(G465+G470)- G474</f>
        <v>384.69000000000233</v>
      </c>
      <c r="H476" s="53">
        <f>(H465+H470)- H474</f>
        <v>0</v>
      </c>
      <c r="I476" s="53">
        <f>(I465+I470)- I474</f>
        <v>-21638.44</v>
      </c>
      <c r="J476" s="53">
        <f>(J465+J470)- J474</f>
        <v>347698.51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2600000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4.38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170000</v>
      </c>
      <c r="G495" s="18"/>
      <c r="H495" s="18"/>
      <c r="I495" s="18"/>
      <c r="J495" s="18"/>
      <c r="K495" s="53">
        <f>SUM(F495:J495)</f>
        <v>170000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170000</v>
      </c>
      <c r="G497" s="18"/>
      <c r="H497" s="18"/>
      <c r="I497" s="18"/>
      <c r="J497" s="18"/>
      <c r="K497" s="53">
        <f t="shared" si="35"/>
        <v>170000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12588.07</v>
      </c>
      <c r="G507" s="144">
        <v>226.93</v>
      </c>
      <c r="H507" s="144">
        <v>0</v>
      </c>
      <c r="I507" s="144">
        <f>F507+G507-H507</f>
        <v>12815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>
        <v>33000</v>
      </c>
      <c r="G511" s="24" t="s">
        <v>286</v>
      </c>
      <c r="H511" s="18">
        <v>33000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2785560</v>
      </c>
      <c r="G513" s="24" t="s">
        <v>286</v>
      </c>
      <c r="H513" s="18">
        <v>2706681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50006</v>
      </c>
      <c r="G514" s="24" t="s">
        <v>286</v>
      </c>
      <c r="H514" s="18">
        <v>42855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2868566</v>
      </c>
      <c r="G517" s="42">
        <f>SUM(G511:G516)</f>
        <v>0</v>
      </c>
      <c r="H517" s="42">
        <f>SUM(H511:H516)</f>
        <v>2782536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141251.51999999999</v>
      </c>
      <c r="G521" s="18">
        <v>37993.32</v>
      </c>
      <c r="H521" s="18"/>
      <c r="I521" s="18">
        <v>372.1</v>
      </c>
      <c r="J521" s="18">
        <v>473.66</v>
      </c>
      <c r="K521" s="18"/>
      <c r="L521" s="88">
        <f>SUM(F521:K521)</f>
        <v>180090.6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22464.76</v>
      </c>
      <c r="G523" s="18">
        <v>4353.05</v>
      </c>
      <c r="H523" s="18">
        <v>110834.22</v>
      </c>
      <c r="I523" s="18">
        <v>3069</v>
      </c>
      <c r="J523" s="18">
        <v>2439</v>
      </c>
      <c r="K523" s="18"/>
      <c r="L523" s="88">
        <f>SUM(F523:K523)</f>
        <v>143160.03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163716.28</v>
      </c>
      <c r="G524" s="108">
        <f t="shared" ref="G524:L524" si="36">SUM(G521:G523)</f>
        <v>42346.37</v>
      </c>
      <c r="H524" s="108">
        <f t="shared" si="36"/>
        <v>110834.22</v>
      </c>
      <c r="I524" s="108">
        <f t="shared" si="36"/>
        <v>3441.1</v>
      </c>
      <c r="J524" s="108">
        <f t="shared" si="36"/>
        <v>2912.66</v>
      </c>
      <c r="K524" s="108">
        <f t="shared" si="36"/>
        <v>0</v>
      </c>
      <c r="L524" s="89">
        <f t="shared" si="36"/>
        <v>323250.63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400</v>
      </c>
      <c r="G526" s="18">
        <v>100.04</v>
      </c>
      <c r="H526" s="18">
        <v>134650.84</v>
      </c>
      <c r="I526" s="18">
        <v>48.35</v>
      </c>
      <c r="J526" s="18">
        <v>253.83</v>
      </c>
      <c r="K526" s="18"/>
      <c r="L526" s="88">
        <f>SUM(F526:K526)</f>
        <v>135453.06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3160.75</v>
      </c>
      <c r="I527" s="18"/>
      <c r="J527" s="18"/>
      <c r="K527" s="18"/>
      <c r="L527" s="88">
        <f>SUM(F527:K527)</f>
        <v>3160.75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3684.1</v>
      </c>
      <c r="I528" s="18"/>
      <c r="J528" s="18"/>
      <c r="K528" s="18"/>
      <c r="L528" s="88">
        <f>SUM(F528:K528)</f>
        <v>3684.1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400</v>
      </c>
      <c r="G529" s="89">
        <f t="shared" ref="G529:L529" si="37">SUM(G526:G528)</f>
        <v>100.04</v>
      </c>
      <c r="H529" s="89">
        <f t="shared" si="37"/>
        <v>141495.69</v>
      </c>
      <c r="I529" s="89">
        <f t="shared" si="37"/>
        <v>48.35</v>
      </c>
      <c r="J529" s="89">
        <f t="shared" si="37"/>
        <v>253.83</v>
      </c>
      <c r="K529" s="89">
        <f t="shared" si="37"/>
        <v>0</v>
      </c>
      <c r="L529" s="89">
        <f t="shared" si="37"/>
        <v>142297.91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12853.48</v>
      </c>
      <c r="I531" s="18"/>
      <c r="J531" s="18"/>
      <c r="K531" s="18"/>
      <c r="L531" s="88">
        <f>SUM(F531:K531)</f>
        <v>12853.48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3347.26</v>
      </c>
      <c r="I532" s="18"/>
      <c r="J532" s="18"/>
      <c r="K532" s="18"/>
      <c r="L532" s="88">
        <f>SUM(F532:K532)</f>
        <v>3347.26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7363.97</v>
      </c>
      <c r="I533" s="18"/>
      <c r="J533" s="18"/>
      <c r="K533" s="18"/>
      <c r="L533" s="88">
        <f>SUM(F533:K533)</f>
        <v>7363.97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23564.71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23564.71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4770</v>
      </c>
      <c r="I541" s="18"/>
      <c r="J541" s="18"/>
      <c r="K541" s="18"/>
      <c r="L541" s="88">
        <f>SUM(F541:K541)</f>
        <v>4770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13950</v>
      </c>
      <c r="I542" s="18"/>
      <c r="J542" s="18"/>
      <c r="K542" s="18"/>
      <c r="L542" s="88">
        <f>SUM(F542:K542)</f>
        <v>13950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13950</v>
      </c>
      <c r="I543" s="18"/>
      <c r="J543" s="18"/>
      <c r="K543" s="18"/>
      <c r="L543" s="88">
        <f>SUM(F543:K543)</f>
        <v>13950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32670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32670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164116.28</v>
      </c>
      <c r="G545" s="89">
        <f t="shared" ref="G545:L545" si="41">G524+G529+G534+G539+G544</f>
        <v>42446.41</v>
      </c>
      <c r="H545" s="89">
        <f t="shared" si="41"/>
        <v>308564.62</v>
      </c>
      <c r="I545" s="89">
        <f t="shared" si="41"/>
        <v>3489.45</v>
      </c>
      <c r="J545" s="89">
        <f t="shared" si="41"/>
        <v>3166.49</v>
      </c>
      <c r="K545" s="89">
        <f t="shared" si="41"/>
        <v>0</v>
      </c>
      <c r="L545" s="89">
        <f t="shared" si="41"/>
        <v>521783.25000000006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180090.6</v>
      </c>
      <c r="G549" s="87">
        <f>L526</f>
        <v>135453.06</v>
      </c>
      <c r="H549" s="87">
        <f>L531</f>
        <v>12853.48</v>
      </c>
      <c r="I549" s="87">
        <f>L536</f>
        <v>0</v>
      </c>
      <c r="J549" s="87">
        <f>L541</f>
        <v>4770</v>
      </c>
      <c r="K549" s="87">
        <f>SUM(F549:J549)</f>
        <v>333167.14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3160.75</v>
      </c>
      <c r="H550" s="87">
        <f>L532</f>
        <v>3347.26</v>
      </c>
      <c r="I550" s="87">
        <f>L537</f>
        <v>0</v>
      </c>
      <c r="J550" s="87">
        <f>L542</f>
        <v>13950</v>
      </c>
      <c r="K550" s="87">
        <f>SUM(F550:J550)</f>
        <v>20458.010000000002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143160.03</v>
      </c>
      <c r="G551" s="87">
        <f>L528</f>
        <v>3684.1</v>
      </c>
      <c r="H551" s="87">
        <f>L533</f>
        <v>7363.97</v>
      </c>
      <c r="I551" s="87">
        <f>L538</f>
        <v>0</v>
      </c>
      <c r="J551" s="87">
        <f>L543</f>
        <v>13950</v>
      </c>
      <c r="K551" s="87">
        <f>SUM(F551:J551)</f>
        <v>168158.1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323250.63</v>
      </c>
      <c r="G552" s="89">
        <f t="shared" si="42"/>
        <v>142297.91</v>
      </c>
      <c r="H552" s="89">
        <f t="shared" si="42"/>
        <v>23564.71</v>
      </c>
      <c r="I552" s="89">
        <f t="shared" si="42"/>
        <v>0</v>
      </c>
      <c r="J552" s="89">
        <f t="shared" si="42"/>
        <v>32670</v>
      </c>
      <c r="K552" s="89">
        <f t="shared" si="42"/>
        <v>521783.25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403804.35</v>
      </c>
      <c r="H575" s="18">
        <v>776584.22</v>
      </c>
      <c r="I575" s="87">
        <f>SUM(F575:H575)</f>
        <v>1180388.5699999998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112254.96</v>
      </c>
      <c r="I591" s="18">
        <v>30752.53</v>
      </c>
      <c r="J591" s="18">
        <v>56779.8</v>
      </c>
      <c r="K591" s="104">
        <f t="shared" ref="K591:K597" si="48">SUM(H591:J591)</f>
        <v>199787.28999999998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4770</v>
      </c>
      <c r="I592" s="18">
        <v>13950</v>
      </c>
      <c r="J592" s="18">
        <v>13950</v>
      </c>
      <c r="K592" s="104">
        <f t="shared" si="48"/>
        <v>32670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1583.75</v>
      </c>
      <c r="I595" s="18"/>
      <c r="J595" s="18"/>
      <c r="K595" s="104">
        <f t="shared" si="48"/>
        <v>1583.75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118608.71</v>
      </c>
      <c r="I598" s="108">
        <f>SUM(I591:I597)</f>
        <v>44702.53</v>
      </c>
      <c r="J598" s="108">
        <f>SUM(J591:J597)</f>
        <v>70729.8</v>
      </c>
      <c r="K598" s="108">
        <f>SUM(K591:K597)</f>
        <v>234041.03999999998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28649.85</v>
      </c>
      <c r="I604" s="18"/>
      <c r="J604" s="18">
        <v>2439</v>
      </c>
      <c r="K604" s="104">
        <f>SUM(H604:J604)</f>
        <v>31088.85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28649.85</v>
      </c>
      <c r="I605" s="108">
        <f>SUM(I602:I604)</f>
        <v>0</v>
      </c>
      <c r="J605" s="108">
        <f>SUM(J602:J604)</f>
        <v>2439</v>
      </c>
      <c r="K605" s="108">
        <f>SUM(K602:K604)</f>
        <v>31088.85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285601.21999999997</v>
      </c>
      <c r="H617" s="109">
        <f>SUM(F52)</f>
        <v>285601.21999999997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5539.94</v>
      </c>
      <c r="H618" s="109">
        <f>SUM(G52)</f>
        <v>5539.94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55136.63</v>
      </c>
      <c r="H619" s="109">
        <f>SUM(H52)</f>
        <v>55136.63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347698.51</v>
      </c>
      <c r="H621" s="109">
        <f>SUM(J52)</f>
        <v>347698.51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262505</v>
      </c>
      <c r="H622" s="109">
        <f>F476</f>
        <v>262505.00000000047</v>
      </c>
      <c r="I622" s="121" t="s">
        <v>101</v>
      </c>
      <c r="J622" s="109">
        <f t="shared" ref="J622:J655" si="50">G622-H622</f>
        <v>-4.6566128730773926E-10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384.69</v>
      </c>
      <c r="H623" s="109">
        <f>G476</f>
        <v>384.69000000000233</v>
      </c>
      <c r="I623" s="121" t="s">
        <v>102</v>
      </c>
      <c r="J623" s="109">
        <f t="shared" si="50"/>
        <v>-2.3305801732931286E-12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-21638.44</v>
      </c>
      <c r="H625" s="109">
        <f>I476</f>
        <v>-21638.44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347698.51</v>
      </c>
      <c r="H626" s="109">
        <f>J476</f>
        <v>347698.51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3249262.4099999997</v>
      </c>
      <c r="H627" s="104">
        <f>SUM(F468)</f>
        <v>3249262.41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58972.49</v>
      </c>
      <c r="H628" s="104">
        <f>SUM(G468)</f>
        <v>58972.49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78502.679999999993</v>
      </c>
      <c r="H629" s="104">
        <f>SUM(H468)</f>
        <v>78502.679999999993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40346.120000000003</v>
      </c>
      <c r="H631" s="104">
        <f>SUM(J468)</f>
        <v>40346.120000000003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3215925.3600000003</v>
      </c>
      <c r="H632" s="104">
        <f>SUM(F472)</f>
        <v>3215925.36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78502.679999999993</v>
      </c>
      <c r="H633" s="104">
        <f>SUM(H472)</f>
        <v>78502.679999999993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4122.6000000000004</v>
      </c>
      <c r="H634" s="104">
        <f>I369</f>
        <v>4122.6000000000004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62331.6</v>
      </c>
      <c r="H635" s="104">
        <f>SUM(G472)</f>
        <v>62331.6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21638.44</v>
      </c>
      <c r="H636" s="104">
        <f>SUM(I472)</f>
        <v>21638.44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40346.120000000003</v>
      </c>
      <c r="H637" s="164">
        <f>SUM(J468)</f>
        <v>40346.120000000003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160679.62</v>
      </c>
      <c r="H639" s="104">
        <f>SUM(F461)</f>
        <v>160679.62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187018.89</v>
      </c>
      <c r="H640" s="104">
        <f>SUM(G461)</f>
        <v>187018.89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347698.51</v>
      </c>
      <c r="H642" s="104">
        <f>SUM(I461)</f>
        <v>347698.51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4296.12</v>
      </c>
      <c r="H644" s="104">
        <f>H408</f>
        <v>4296.1200000000008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35000</v>
      </c>
      <c r="H645" s="104">
        <f>G408</f>
        <v>35000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40346.120000000003</v>
      </c>
      <c r="H646" s="104">
        <f>L408</f>
        <v>40346.120000000003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234041.03999999998</v>
      </c>
      <c r="H647" s="104">
        <f>L208+L226+L244</f>
        <v>234041.04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31088.85</v>
      </c>
      <c r="H648" s="104">
        <f>(J257+J338)-(J255+J336)</f>
        <v>31088.85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118608.70595181914</v>
      </c>
      <c r="H649" s="104">
        <f>H598</f>
        <v>118608.71</v>
      </c>
      <c r="I649" s="140" t="s">
        <v>386</v>
      </c>
      <c r="J649" s="109">
        <f t="shared" si="50"/>
        <v>-4.0481808682670817E-3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44702.52968501344</v>
      </c>
      <c r="H650" s="104">
        <f>I598</f>
        <v>44702.53</v>
      </c>
      <c r="I650" s="140" t="s">
        <v>387</v>
      </c>
      <c r="J650" s="109">
        <f t="shared" si="50"/>
        <v>-3.1498655880568549E-4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70729.804363167437</v>
      </c>
      <c r="H651" s="104">
        <f>J598</f>
        <v>70729.8</v>
      </c>
      <c r="I651" s="140" t="s">
        <v>388</v>
      </c>
      <c r="J651" s="109">
        <f t="shared" si="50"/>
        <v>4.3631674343487248E-3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35000</v>
      </c>
      <c r="H655" s="104">
        <f>K266+K347</f>
        <v>35000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1618798.3298358291</v>
      </c>
      <c r="G660" s="19">
        <f>(L229+L309+L359)</f>
        <v>474582.25090311875</v>
      </c>
      <c r="H660" s="19">
        <f>(L247+L328+L360)</f>
        <v>1036466.4692610523</v>
      </c>
      <c r="I660" s="19">
        <f>SUM(F660:H660)</f>
        <v>3129847.05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22667.84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22667.84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118608.70595181914</v>
      </c>
      <c r="G662" s="19">
        <f>(L226+L306)-(J226+J306)</f>
        <v>44702.52968501344</v>
      </c>
      <c r="H662" s="19">
        <f>(L244+L325)-(J244+J325)</f>
        <v>70729.804363167437</v>
      </c>
      <c r="I662" s="19">
        <f>SUM(F662:H662)</f>
        <v>234041.04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28649.85</v>
      </c>
      <c r="G663" s="199">
        <f>SUM(G575:G587)+SUM(I602:I604)+L612</f>
        <v>403804.35</v>
      </c>
      <c r="H663" s="199">
        <f>SUM(H575:H587)+SUM(J602:J604)+L613</f>
        <v>779023.22</v>
      </c>
      <c r="I663" s="19">
        <f>SUM(F663:H663)</f>
        <v>1211477.42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1448871.93388401</v>
      </c>
      <c r="G664" s="19">
        <f>G660-SUM(G661:G663)</f>
        <v>26075.371218105312</v>
      </c>
      <c r="H664" s="19">
        <f>H660-SUM(H661:H663)</f>
        <v>186713.44489788497</v>
      </c>
      <c r="I664" s="19">
        <f>I660-SUM(I661:I663)</f>
        <v>1661660.75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112.6</v>
      </c>
      <c r="G665" s="248"/>
      <c r="H665" s="248"/>
      <c r="I665" s="19">
        <f>SUM(F665:H665)</f>
        <v>112.6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12867.42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14757.2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-26075.37</v>
      </c>
      <c r="H669" s="18">
        <v>-186713.44</v>
      </c>
      <c r="I669" s="19">
        <f>SUM(F669:H669)</f>
        <v>-212788.81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12867.42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12867.42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3" sqref="B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Milan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363158.94</v>
      </c>
      <c r="C9" s="229">
        <f>'DOE25'!G197+'DOE25'!G215+'DOE25'!G233+'DOE25'!G276+'DOE25'!G295+'DOE25'!G314</f>
        <v>176866.28</v>
      </c>
    </row>
    <row r="10" spans="1:3" x14ac:dyDescent="0.2">
      <c r="A10" t="s">
        <v>773</v>
      </c>
      <c r="B10" s="240">
        <v>358168.1</v>
      </c>
      <c r="C10" s="240">
        <v>176215.84</v>
      </c>
    </row>
    <row r="11" spans="1:3" x14ac:dyDescent="0.2">
      <c r="A11" t="s">
        <v>774</v>
      </c>
      <c r="B11" s="240">
        <v>0</v>
      </c>
      <c r="C11" s="240">
        <v>0</v>
      </c>
    </row>
    <row r="12" spans="1:3" x14ac:dyDescent="0.2">
      <c r="A12" t="s">
        <v>775</v>
      </c>
      <c r="B12" s="240">
        <v>4990.84</v>
      </c>
      <c r="C12" s="240">
        <v>650.44000000000005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363158.94</v>
      </c>
      <c r="C13" s="231">
        <f>SUM(C10:C12)</f>
        <v>176866.28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159067.72999999998</v>
      </c>
      <c r="C18" s="229">
        <f>'DOE25'!G198+'DOE25'!G216+'DOE25'!G234+'DOE25'!G277+'DOE25'!G296+'DOE25'!G315</f>
        <v>39312.930000000008</v>
      </c>
    </row>
    <row r="19" spans="1:3" x14ac:dyDescent="0.2">
      <c r="A19" t="s">
        <v>773</v>
      </c>
      <c r="B19" s="240">
        <v>69558.759999999995</v>
      </c>
      <c r="C19" s="240">
        <v>31424.34</v>
      </c>
    </row>
    <row r="20" spans="1:3" x14ac:dyDescent="0.2">
      <c r="A20" t="s">
        <v>774</v>
      </c>
      <c r="B20" s="240">
        <v>85511.74</v>
      </c>
      <c r="C20" s="240">
        <v>7551.67</v>
      </c>
    </row>
    <row r="21" spans="1:3" x14ac:dyDescent="0.2">
      <c r="A21" t="s">
        <v>775</v>
      </c>
      <c r="B21" s="240">
        <v>3997.23</v>
      </c>
      <c r="C21" s="240">
        <v>336.92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159067.73000000001</v>
      </c>
      <c r="C22" s="231">
        <f>SUM(C19:C21)</f>
        <v>39312.93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4648.5499999999993</v>
      </c>
      <c r="C36" s="235">
        <f>'DOE25'!G200+'DOE25'!G218+'DOE25'!G236+'DOE25'!G279+'DOE25'!G298+'DOE25'!G317</f>
        <v>3033.44</v>
      </c>
    </row>
    <row r="37" spans="1:3" x14ac:dyDescent="0.2">
      <c r="A37" t="s">
        <v>773</v>
      </c>
      <c r="B37" s="240">
        <v>2467.39</v>
      </c>
      <c r="C37" s="240">
        <v>2863.76</v>
      </c>
    </row>
    <row r="38" spans="1:3" x14ac:dyDescent="0.2">
      <c r="A38" t="s">
        <v>774</v>
      </c>
      <c r="B38" s="240">
        <v>2181.16</v>
      </c>
      <c r="C38" s="240">
        <v>169.68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4648.5499999999993</v>
      </c>
      <c r="C40" s="231">
        <f>SUM(C37:C39)</f>
        <v>3033.44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Milan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2012253.0899999999</v>
      </c>
      <c r="D5" s="20">
        <f>SUM('DOE25'!L197:L200)+SUM('DOE25'!L215:L218)+SUM('DOE25'!L233:L236)-F5-G5</f>
        <v>1992583.2899999998</v>
      </c>
      <c r="E5" s="243"/>
      <c r="F5" s="255">
        <f>SUM('DOE25'!J197:J200)+SUM('DOE25'!J215:J218)+SUM('DOE25'!J233:J236)</f>
        <v>19044.8</v>
      </c>
      <c r="G5" s="53">
        <f>SUM('DOE25'!K197:K200)+SUM('DOE25'!K215:K218)+SUM('DOE25'!K233:K236)</f>
        <v>625</v>
      </c>
      <c r="H5" s="259"/>
    </row>
    <row r="6" spans="1:9" x14ac:dyDescent="0.2">
      <c r="A6" s="32">
        <v>2100</v>
      </c>
      <c r="B6" t="s">
        <v>795</v>
      </c>
      <c r="C6" s="245">
        <f t="shared" si="0"/>
        <v>216884.13999999998</v>
      </c>
      <c r="D6" s="20">
        <f>'DOE25'!L202+'DOE25'!L220+'DOE25'!L238-F6-G6</f>
        <v>216411.31</v>
      </c>
      <c r="E6" s="243"/>
      <c r="F6" s="255">
        <f>'DOE25'!J202+'DOE25'!J220+'DOE25'!J238</f>
        <v>253.83</v>
      </c>
      <c r="G6" s="53">
        <f>'DOE25'!K202+'DOE25'!K220+'DOE25'!K238</f>
        <v>219</v>
      </c>
      <c r="H6" s="259"/>
    </row>
    <row r="7" spans="1:9" x14ac:dyDescent="0.2">
      <c r="A7" s="32">
        <v>2200</v>
      </c>
      <c r="B7" t="s">
        <v>828</v>
      </c>
      <c r="C7" s="245">
        <f t="shared" si="0"/>
        <v>42102.14</v>
      </c>
      <c r="D7" s="20">
        <f>'DOE25'!L203+'DOE25'!L221+'DOE25'!L239-F7-G7</f>
        <v>36878.92</v>
      </c>
      <c r="E7" s="243"/>
      <c r="F7" s="255">
        <f>'DOE25'!J203+'DOE25'!J221+'DOE25'!J239</f>
        <v>5223.2199999999993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115385.05999999998</v>
      </c>
      <c r="D8" s="243"/>
      <c r="E8" s="20">
        <f>'DOE25'!L204+'DOE25'!L222+'DOE25'!L240-F8-G8-D9-D11</f>
        <v>111147.63999999998</v>
      </c>
      <c r="F8" s="255">
        <f>'DOE25'!J204+'DOE25'!J222+'DOE25'!J240</f>
        <v>0</v>
      </c>
      <c r="G8" s="53">
        <f>'DOE25'!K204+'DOE25'!K222+'DOE25'!K240</f>
        <v>4237.42</v>
      </c>
      <c r="H8" s="259"/>
    </row>
    <row r="9" spans="1:9" x14ac:dyDescent="0.2">
      <c r="A9" s="32">
        <v>2310</v>
      </c>
      <c r="B9" t="s">
        <v>812</v>
      </c>
      <c r="C9" s="245">
        <f t="shared" si="0"/>
        <v>10712.52</v>
      </c>
      <c r="D9" s="244">
        <v>10712.52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5285.21</v>
      </c>
      <c r="D10" s="243"/>
      <c r="E10" s="244">
        <v>5285.21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31102.44</v>
      </c>
      <c r="D11" s="244">
        <v>31102.44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135040.67000000001</v>
      </c>
      <c r="D12" s="20">
        <f>'DOE25'!L205+'DOE25'!L223+'DOE25'!L241-F12-G12</f>
        <v>131718.88</v>
      </c>
      <c r="E12" s="243"/>
      <c r="F12" s="255">
        <f>'DOE25'!J205+'DOE25'!J223+'DOE25'!J241</f>
        <v>0</v>
      </c>
      <c r="G12" s="53">
        <f>'DOE25'!K205+'DOE25'!K223+'DOE25'!K241</f>
        <v>3321.7900000000004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193782.77000000002</v>
      </c>
      <c r="D14" s="20">
        <f>'DOE25'!L207+'DOE25'!L225+'DOE25'!L243-F14-G14</f>
        <v>187215.77000000002</v>
      </c>
      <c r="E14" s="243"/>
      <c r="F14" s="255">
        <f>'DOE25'!J207+'DOE25'!J225+'DOE25'!J243</f>
        <v>6567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234041.04</v>
      </c>
      <c r="D15" s="20">
        <f>'DOE25'!L208+'DOE25'!L226+'DOE25'!L244-F15-G15</f>
        <v>234041.04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6095.05</v>
      </c>
      <c r="D19" s="20">
        <f>'DOE25'!L253-F19-G19</f>
        <v>5855.05</v>
      </c>
      <c r="E19" s="243"/>
      <c r="F19" s="255">
        <f>'DOE25'!J253</f>
        <v>0</v>
      </c>
      <c r="G19" s="53">
        <f>'DOE25'!K253</f>
        <v>240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9701.44</v>
      </c>
      <c r="D22" s="243"/>
      <c r="E22" s="243"/>
      <c r="F22" s="255">
        <f>'DOE25'!L255+'DOE25'!L336</f>
        <v>9701.44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173825</v>
      </c>
      <c r="D25" s="243"/>
      <c r="E25" s="243"/>
      <c r="F25" s="258"/>
      <c r="G25" s="256"/>
      <c r="H25" s="257">
        <f>'DOE25'!L260+'DOE25'!L261+'DOE25'!L341+'DOE25'!L342</f>
        <v>173825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58209</v>
      </c>
      <c r="D29" s="20">
        <f>'DOE25'!L358+'DOE25'!L359+'DOE25'!L360-'DOE25'!I367-F29-G29</f>
        <v>58209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76211.579999999987</v>
      </c>
      <c r="D31" s="20">
        <f>'DOE25'!L290+'DOE25'!L309+'DOE25'!L328+'DOE25'!L333+'DOE25'!L334+'DOE25'!L335-F31-G31</f>
        <v>75211.62999999999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999.95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2979939.8499999992</v>
      </c>
      <c r="E33" s="246">
        <f>SUM(E5:E31)</f>
        <v>116432.84999999999</v>
      </c>
      <c r="F33" s="246">
        <f>SUM(F5:F31)</f>
        <v>40790.29</v>
      </c>
      <c r="G33" s="246">
        <f>SUM(G5:G31)</f>
        <v>9643.1600000000017</v>
      </c>
      <c r="H33" s="246">
        <f>SUM(H5:H31)</f>
        <v>173825</v>
      </c>
    </row>
    <row r="35" spans="2:8" ht="12" thickBot="1" x14ac:dyDescent="0.25">
      <c r="B35" s="253" t="s">
        <v>841</v>
      </c>
      <c r="D35" s="254">
        <f>E33</f>
        <v>116432.84999999999</v>
      </c>
      <c r="E35" s="249"/>
    </row>
    <row r="36" spans="2:8" ht="12" thickTop="1" x14ac:dyDescent="0.2">
      <c r="B36" t="s">
        <v>809</v>
      </c>
      <c r="D36" s="20">
        <f>D33</f>
        <v>2979939.8499999992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32268.21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112958.01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343214.76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65501.34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4483.75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72583.429999999993</v>
      </c>
      <c r="D12" s="95">
        <f>'DOE25'!G13</f>
        <v>5539.94</v>
      </c>
      <c r="E12" s="95">
        <f>'DOE25'!H13</f>
        <v>55136.63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2290.23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285601.21999999997</v>
      </c>
      <c r="D18" s="41">
        <f>SUM(D8:D17)</f>
        <v>5539.94</v>
      </c>
      <c r="E18" s="41">
        <f>SUM(E8:E17)</f>
        <v>55136.63</v>
      </c>
      <c r="F18" s="41">
        <f>SUM(F8:F17)</f>
        <v>0</v>
      </c>
      <c r="G18" s="41">
        <f>SUM(G8:G17)</f>
        <v>347698.51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2627.25</v>
      </c>
      <c r="E21" s="95">
        <f>'DOE25'!H22</f>
        <v>45719.4</v>
      </c>
      <c r="F21" s="95">
        <f>'DOE25'!I22</f>
        <v>21638.44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2834.1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12860.79</v>
      </c>
      <c r="D23" s="95">
        <f>'DOE25'!G24</f>
        <v>2528</v>
      </c>
      <c r="E23" s="95">
        <f>'DOE25'!H24</f>
        <v>454.09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10235.43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6129.04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23096.22</v>
      </c>
      <c r="D31" s="41">
        <f>SUM(D21:D30)</f>
        <v>5155.25</v>
      </c>
      <c r="E31" s="41">
        <f>SUM(E21:E30)</f>
        <v>55136.63</v>
      </c>
      <c r="F31" s="41">
        <f>SUM(F21:F30)</f>
        <v>21638.44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384.69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47159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-21638.44</v>
      </c>
      <c r="G47" s="95">
        <f>'DOE25'!J48</f>
        <v>347698.51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215346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262505</v>
      </c>
      <c r="D50" s="41">
        <f>SUM(D34:D49)</f>
        <v>384.69</v>
      </c>
      <c r="E50" s="41">
        <f>SUM(E34:E49)</f>
        <v>0</v>
      </c>
      <c r="F50" s="41">
        <f>SUM(F34:F49)</f>
        <v>-21638.44</v>
      </c>
      <c r="G50" s="41">
        <f>SUM(G34:G49)</f>
        <v>347698.51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285601.21999999997</v>
      </c>
      <c r="D51" s="41">
        <f>D50+D31</f>
        <v>5539.94</v>
      </c>
      <c r="E51" s="41">
        <f>E50+E31</f>
        <v>55136.63</v>
      </c>
      <c r="F51" s="41">
        <f>F50+F31</f>
        <v>0</v>
      </c>
      <c r="G51" s="41">
        <f>G50+G31</f>
        <v>347698.51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1666334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110650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7500.11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4296.12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22525.84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41863.58</v>
      </c>
      <c r="D61" s="95">
        <f>SUM('DOE25'!G98:G110)</f>
        <v>142</v>
      </c>
      <c r="E61" s="95">
        <f>SUM('DOE25'!H98:H110)</f>
        <v>2654.59</v>
      </c>
      <c r="F61" s="95">
        <f>SUM('DOE25'!I98:I110)</f>
        <v>0</v>
      </c>
      <c r="G61" s="95">
        <f>SUM('DOE25'!J98:J110)</f>
        <v>1050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160013.69</v>
      </c>
      <c r="D62" s="130">
        <f>SUM(D57:D61)</f>
        <v>22667.84</v>
      </c>
      <c r="E62" s="130">
        <f>SUM(E57:E61)</f>
        <v>2654.59</v>
      </c>
      <c r="F62" s="130">
        <f>SUM(F57:F61)</f>
        <v>0</v>
      </c>
      <c r="G62" s="130">
        <f>SUM(G57:G61)</f>
        <v>5346.12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1826347.69</v>
      </c>
      <c r="D63" s="22">
        <f>D56+D62</f>
        <v>22667.84</v>
      </c>
      <c r="E63" s="22">
        <f>E56+E62</f>
        <v>2654.59</v>
      </c>
      <c r="F63" s="22">
        <f>F56+F62</f>
        <v>0</v>
      </c>
      <c r="G63" s="22">
        <f>G56+G62</f>
        <v>5346.12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1088701.23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220019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1308720.23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76251.360000000001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696.77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913.48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76948.13</v>
      </c>
      <c r="D78" s="130">
        <f>SUM(D72:D77)</f>
        <v>913.48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1385668.3599999999</v>
      </c>
      <c r="D81" s="130">
        <f>SUM(D79:D80)+D78+D70</f>
        <v>913.48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3071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29794.49</v>
      </c>
      <c r="D88" s="95">
        <f>SUM('DOE25'!G153:G161)</f>
        <v>35391.17</v>
      </c>
      <c r="E88" s="95">
        <f>SUM('DOE25'!H153:H161)</f>
        <v>72777.09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7451.87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37246.36</v>
      </c>
      <c r="D91" s="131">
        <f>SUM(D85:D90)</f>
        <v>35391.17</v>
      </c>
      <c r="E91" s="131">
        <f>SUM(E85:E90)</f>
        <v>75848.09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35000</v>
      </c>
    </row>
    <row r="104" spans="1:7" ht="12.75" thickTop="1" thickBot="1" x14ac:dyDescent="0.25">
      <c r="A104" s="33" t="s">
        <v>759</v>
      </c>
      <c r="C104" s="86">
        <f>C63+C81+C91+C103</f>
        <v>3249262.4099999997</v>
      </c>
      <c r="D104" s="86">
        <f>D63+D81+D91+D103</f>
        <v>58972.49</v>
      </c>
      <c r="E104" s="86">
        <f>E63+E81+E91+E103</f>
        <v>78502.679999999993</v>
      </c>
      <c r="F104" s="86">
        <f>F63+F81+F91+F103</f>
        <v>0</v>
      </c>
      <c r="G104" s="86">
        <f>G63+G81+G103</f>
        <v>40346.120000000003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1722881.15</v>
      </c>
      <c r="D109" s="24" t="s">
        <v>286</v>
      </c>
      <c r="E109" s="95">
        <f>('DOE25'!L276)+('DOE25'!L295)+('DOE25'!L314)</f>
        <v>34252.559999999998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280671.57999999996</v>
      </c>
      <c r="D110" s="24" t="s">
        <v>286</v>
      </c>
      <c r="E110" s="95">
        <f>('DOE25'!L277)+('DOE25'!L296)+('DOE25'!L315)</f>
        <v>33878.689999999995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8700.36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6095.05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2018348.1400000001</v>
      </c>
      <c r="D115" s="86">
        <f>SUM(D109:D114)</f>
        <v>0</v>
      </c>
      <c r="E115" s="86">
        <f>SUM(E109:E114)</f>
        <v>68131.25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216884.13999999998</v>
      </c>
      <c r="D118" s="24" t="s">
        <v>286</v>
      </c>
      <c r="E118" s="95">
        <f>+('DOE25'!L281)+('DOE25'!L300)+('DOE25'!L319)</f>
        <v>462.62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42102.14</v>
      </c>
      <c r="D119" s="24" t="s">
        <v>286</v>
      </c>
      <c r="E119" s="95">
        <f>+('DOE25'!L282)+('DOE25'!L301)+('DOE25'!L320)</f>
        <v>7617.7099999999991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157200.01999999999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135040.67000000001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193782.77000000002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234041.04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62331.6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979050.78</v>
      </c>
      <c r="D128" s="86">
        <f>SUM(D118:D127)</f>
        <v>62331.6</v>
      </c>
      <c r="E128" s="86">
        <f>SUM(E118:E127)</f>
        <v>8080.329999999999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9701.44</v>
      </c>
      <c r="D130" s="24" t="s">
        <v>286</v>
      </c>
      <c r="E130" s="129">
        <f>'DOE25'!L336</f>
        <v>0</v>
      </c>
      <c r="F130" s="129">
        <f>SUM('DOE25'!L374:'DOE25'!L380)</f>
        <v>21638.44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170000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3825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36917.94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3428.1800000000003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-5346.1200000000026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2291.0999999999995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218526.44</v>
      </c>
      <c r="D144" s="141">
        <f>SUM(D130:D143)</f>
        <v>0</v>
      </c>
      <c r="E144" s="141">
        <f>SUM(E130:E143)</f>
        <v>2291.0999999999995</v>
      </c>
      <c r="F144" s="141">
        <f>SUM(F130:F143)</f>
        <v>21638.44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3215925.36</v>
      </c>
      <c r="D145" s="86">
        <f>(D115+D128+D144)</f>
        <v>62331.6</v>
      </c>
      <c r="E145" s="86">
        <f>(E115+E128+E144)</f>
        <v>78502.680000000008</v>
      </c>
      <c r="F145" s="86">
        <f>(F115+F128+F144)</f>
        <v>21638.44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06/2002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07/2017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4.38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Milan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12867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12867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1757134</v>
      </c>
      <c r="D10" s="182">
        <f>ROUND((C10/$C$28)*100,1)</f>
        <v>56.3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314550</v>
      </c>
      <c r="D11" s="182">
        <f>ROUND((C11/$C$28)*100,1)</f>
        <v>10.1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8700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217347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49720</v>
      </c>
      <c r="D16" s="182">
        <f t="shared" si="0"/>
        <v>1.6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157200</v>
      </c>
      <c r="D17" s="182">
        <f t="shared" si="0"/>
        <v>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135041</v>
      </c>
      <c r="D18" s="182">
        <f t="shared" si="0"/>
        <v>4.3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193783</v>
      </c>
      <c r="D20" s="182">
        <f t="shared" si="0"/>
        <v>6.2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234041</v>
      </c>
      <c r="D21" s="182">
        <f t="shared" si="0"/>
        <v>7.5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6095</v>
      </c>
      <c r="D24" s="182">
        <f t="shared" si="0"/>
        <v>0.2</v>
      </c>
    </row>
    <row r="25" spans="1:4" x14ac:dyDescent="0.2">
      <c r="A25">
        <v>5120</v>
      </c>
      <c r="B25" t="s">
        <v>714</v>
      </c>
      <c r="C25" s="179">
        <f>ROUND('DOE25'!L261+'DOE25'!L342,0)</f>
        <v>3825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2291.0999999999995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39664.160000000003</v>
      </c>
      <c r="D27" s="182">
        <f t="shared" si="0"/>
        <v>1.3</v>
      </c>
    </row>
    <row r="28" spans="1:4" x14ac:dyDescent="0.2">
      <c r="B28" s="187" t="s">
        <v>717</v>
      </c>
      <c r="C28" s="180">
        <f>SUM(C10:C27)</f>
        <v>3119391.2600000002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31340</v>
      </c>
    </row>
    <row r="30" spans="1:4" x14ac:dyDescent="0.2">
      <c r="B30" s="187" t="s">
        <v>723</v>
      </c>
      <c r="C30" s="180">
        <f>SUM(C28:C29)</f>
        <v>3150731.2600000002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170000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1666334</v>
      </c>
      <c r="D35" s="182">
        <f t="shared" ref="D35:D40" si="1">ROUND((C35/$C$41)*100,1)</f>
        <v>49.5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168014.40000000014</v>
      </c>
      <c r="D36" s="182">
        <f t="shared" si="1"/>
        <v>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1308720</v>
      </c>
      <c r="D37" s="182">
        <f t="shared" si="1"/>
        <v>38.799999999999997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77862</v>
      </c>
      <c r="D38" s="182">
        <f t="shared" si="1"/>
        <v>2.2999999999999998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148486</v>
      </c>
      <c r="D39" s="182">
        <f t="shared" si="1"/>
        <v>4.4000000000000004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3369416.4000000004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Milan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2018-09-10T22:27:53Z</cp:lastPrinted>
  <dcterms:created xsi:type="dcterms:W3CDTF">1997-12-04T19:04:30Z</dcterms:created>
  <dcterms:modified xsi:type="dcterms:W3CDTF">2018-11-30T17:58:31Z</dcterms:modified>
</cp:coreProperties>
</file>