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0" yWindow="0" windowWidth="28800" windowHeight="1243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465" i="1" l="1"/>
  <c r="I567" i="1"/>
  <c r="G567" i="1"/>
  <c r="G564" i="1"/>
  <c r="G563" i="1"/>
  <c r="G562" i="1"/>
  <c r="I564" i="1"/>
  <c r="I563" i="1"/>
  <c r="I562" i="1"/>
  <c r="F564" i="1"/>
  <c r="F563" i="1"/>
  <c r="F562" i="1"/>
  <c r="H564" i="1"/>
  <c r="H563" i="1"/>
  <c r="H562" i="1"/>
  <c r="J557" i="1"/>
  <c r="I557" i="1"/>
  <c r="H557" i="1"/>
  <c r="G557" i="1"/>
  <c r="F557" i="1"/>
  <c r="G533" i="1"/>
  <c r="G532" i="1"/>
  <c r="G531" i="1"/>
  <c r="G528" i="1"/>
  <c r="G527" i="1"/>
  <c r="G526" i="1"/>
  <c r="G523" i="1"/>
  <c r="G522" i="1"/>
  <c r="G521" i="1"/>
  <c r="H538" i="1"/>
  <c r="H537" i="1"/>
  <c r="H536" i="1"/>
  <c r="K533" i="1"/>
  <c r="K532" i="1"/>
  <c r="K531" i="1"/>
  <c r="I533" i="1"/>
  <c r="I532" i="1"/>
  <c r="I531" i="1"/>
  <c r="H533" i="1"/>
  <c r="H532" i="1"/>
  <c r="H531" i="1"/>
  <c r="F533" i="1"/>
  <c r="F532" i="1"/>
  <c r="F531" i="1"/>
  <c r="J528" i="1"/>
  <c r="J527" i="1"/>
  <c r="J526" i="1"/>
  <c r="I528" i="1"/>
  <c r="I527" i="1"/>
  <c r="I526" i="1"/>
  <c r="H528" i="1"/>
  <c r="H527" i="1"/>
  <c r="H526" i="1"/>
  <c r="F528" i="1"/>
  <c r="F527" i="1"/>
  <c r="F526" i="1"/>
  <c r="J523" i="1"/>
  <c r="J522" i="1"/>
  <c r="J521" i="1"/>
  <c r="I523" i="1"/>
  <c r="I522" i="1"/>
  <c r="I521" i="1"/>
  <c r="H523" i="1"/>
  <c r="H522" i="1"/>
  <c r="H521" i="1"/>
  <c r="F523" i="1"/>
  <c r="F522" i="1"/>
  <c r="F521" i="1"/>
  <c r="H543" i="1"/>
  <c r="K528" i="1"/>
  <c r="H542" i="1"/>
  <c r="J502" i="1"/>
  <c r="J501" i="1"/>
  <c r="J497" i="1"/>
  <c r="G613" i="1"/>
  <c r="G612" i="1"/>
  <c r="G611" i="1"/>
  <c r="F613" i="1"/>
  <c r="F612" i="1"/>
  <c r="F611" i="1"/>
  <c r="J604" i="1"/>
  <c r="I604" i="1"/>
  <c r="H604" i="1"/>
  <c r="F314" i="1"/>
  <c r="I325" i="1"/>
  <c r="H325" i="1"/>
  <c r="J325" i="1"/>
  <c r="H320" i="1"/>
  <c r="I314" i="1"/>
  <c r="G314" i="1"/>
  <c r="J300" i="1"/>
  <c r="J281" i="1"/>
  <c r="J276" i="1"/>
  <c r="I320" i="1"/>
  <c r="I319" i="1"/>
  <c r="I315" i="1"/>
  <c r="I301" i="1"/>
  <c r="I300" i="1"/>
  <c r="I296" i="1"/>
  <c r="I282" i="1"/>
  <c r="I281" i="1"/>
  <c r="I277" i="1"/>
  <c r="I276" i="1"/>
  <c r="H319" i="1"/>
  <c r="H315" i="1"/>
  <c r="H301" i="1"/>
  <c r="H300" i="1"/>
  <c r="H296" i="1"/>
  <c r="H282" i="1"/>
  <c r="H281" i="1"/>
  <c r="H277" i="1"/>
  <c r="G320" i="1"/>
  <c r="G319" i="1"/>
  <c r="G317" i="1"/>
  <c r="G315" i="1"/>
  <c r="G301" i="1"/>
  <c r="G300" i="1"/>
  <c r="G298" i="1"/>
  <c r="G296" i="1"/>
  <c r="G295" i="1"/>
  <c r="G282" i="1"/>
  <c r="G281" i="1"/>
  <c r="G279" i="1"/>
  <c r="G277" i="1"/>
  <c r="G276" i="1"/>
  <c r="F276" i="1"/>
  <c r="F277" i="1"/>
  <c r="F320" i="1"/>
  <c r="F319" i="1"/>
  <c r="F317" i="1"/>
  <c r="F315" i="1"/>
  <c r="F301" i="1"/>
  <c r="F300" i="1"/>
  <c r="F298" i="1"/>
  <c r="F296" i="1"/>
  <c r="F282" i="1"/>
  <c r="F281" i="1"/>
  <c r="F279" i="1"/>
  <c r="F233" i="1"/>
  <c r="K240" i="1"/>
  <c r="K222" i="1"/>
  <c r="K204" i="1"/>
  <c r="J245" i="1"/>
  <c r="J243" i="1"/>
  <c r="J240" i="1"/>
  <c r="J238" i="1"/>
  <c r="J234" i="1"/>
  <c r="J227" i="1"/>
  <c r="J225" i="1"/>
  <c r="J222" i="1"/>
  <c r="J220" i="1"/>
  <c r="J216" i="1"/>
  <c r="J209" i="1"/>
  <c r="J207" i="1"/>
  <c r="J204" i="1"/>
  <c r="J202" i="1"/>
  <c r="J198" i="1"/>
  <c r="I245" i="1"/>
  <c r="I243" i="1"/>
  <c r="I240" i="1"/>
  <c r="I239" i="1"/>
  <c r="I238" i="1"/>
  <c r="I234" i="1"/>
  <c r="I227" i="1"/>
  <c r="I225" i="1"/>
  <c r="I222" i="1"/>
  <c r="I221" i="1"/>
  <c r="I220" i="1"/>
  <c r="I216" i="1"/>
  <c r="I209" i="1"/>
  <c r="I207" i="1"/>
  <c r="I204" i="1"/>
  <c r="I203" i="1"/>
  <c r="I202" i="1"/>
  <c r="I198" i="1"/>
  <c r="H245" i="1"/>
  <c r="H244" i="1"/>
  <c r="H243" i="1"/>
  <c r="H240" i="1"/>
  <c r="H239" i="1"/>
  <c r="H238" i="1"/>
  <c r="H234" i="1"/>
  <c r="H227" i="1"/>
  <c r="H226" i="1"/>
  <c r="H225" i="1"/>
  <c r="H222" i="1"/>
  <c r="H221" i="1"/>
  <c r="H220" i="1"/>
  <c r="H216" i="1"/>
  <c r="H209" i="1"/>
  <c r="H208" i="1"/>
  <c r="H207" i="1"/>
  <c r="H204" i="1"/>
  <c r="H203" i="1"/>
  <c r="H202" i="1"/>
  <c r="H198" i="1"/>
  <c r="F245" i="1"/>
  <c r="F243" i="1"/>
  <c r="F240" i="1"/>
  <c r="F238" i="1"/>
  <c r="F236" i="1"/>
  <c r="F234" i="1"/>
  <c r="K241" i="1"/>
  <c r="K238" i="1"/>
  <c r="K236" i="1"/>
  <c r="K235" i="1"/>
  <c r="K233" i="1"/>
  <c r="J241" i="1"/>
  <c r="J239" i="1"/>
  <c r="J235" i="1"/>
  <c r="J233" i="1"/>
  <c r="I241" i="1"/>
  <c r="I236" i="1"/>
  <c r="I235" i="1"/>
  <c r="I233" i="1"/>
  <c r="H241" i="1"/>
  <c r="H236" i="1"/>
  <c r="H235" i="1"/>
  <c r="H233" i="1"/>
  <c r="G245" i="1"/>
  <c r="G243" i="1"/>
  <c r="G241" i="1"/>
  <c r="G240" i="1"/>
  <c r="G239" i="1"/>
  <c r="G238" i="1"/>
  <c r="G236" i="1"/>
  <c r="G235" i="1"/>
  <c r="G234" i="1"/>
  <c r="F241" i="1"/>
  <c r="F239" i="1"/>
  <c r="F235" i="1"/>
  <c r="F227" i="1"/>
  <c r="F225" i="1"/>
  <c r="F222" i="1"/>
  <c r="F220" i="1"/>
  <c r="F218" i="1"/>
  <c r="F216" i="1"/>
  <c r="K223" i="1"/>
  <c r="K218" i="1"/>
  <c r="K215" i="1"/>
  <c r="J223" i="1"/>
  <c r="J218" i="1"/>
  <c r="I223" i="1"/>
  <c r="I218" i="1"/>
  <c r="I215" i="1"/>
  <c r="H223" i="1"/>
  <c r="H218" i="1"/>
  <c r="H215" i="1"/>
  <c r="G227" i="1"/>
  <c r="G225" i="1"/>
  <c r="G223" i="1"/>
  <c r="G222" i="1"/>
  <c r="G221" i="1"/>
  <c r="G220" i="1"/>
  <c r="G218" i="1"/>
  <c r="G216" i="1"/>
  <c r="F223" i="1"/>
  <c r="F221" i="1"/>
  <c r="F215" i="1"/>
  <c r="F207" i="1"/>
  <c r="F204" i="1"/>
  <c r="F202" i="1"/>
  <c r="F200" i="1"/>
  <c r="F198" i="1"/>
  <c r="F197" i="1"/>
  <c r="K205" i="1"/>
  <c r="K200" i="1"/>
  <c r="K197" i="1"/>
  <c r="J203" i="1"/>
  <c r="J197" i="1"/>
  <c r="I205" i="1"/>
  <c r="I200" i="1"/>
  <c r="I197" i="1"/>
  <c r="H205" i="1"/>
  <c r="H200" i="1"/>
  <c r="H197" i="1"/>
  <c r="G209" i="1"/>
  <c r="G207" i="1"/>
  <c r="G205" i="1"/>
  <c r="G204" i="1"/>
  <c r="G203" i="1"/>
  <c r="G202" i="1"/>
  <c r="G200" i="1"/>
  <c r="G198" i="1"/>
  <c r="F205" i="1"/>
  <c r="F203" i="1"/>
  <c r="I316" i="1"/>
  <c r="H316" i="1"/>
  <c r="G283" i="1"/>
  <c r="J287" i="1"/>
  <c r="G197" i="1"/>
  <c r="G233" i="1"/>
  <c r="G215" i="1"/>
  <c r="J215" i="1"/>
  <c r="H400" i="1"/>
  <c r="H403" i="1"/>
  <c r="I403" i="1"/>
  <c r="J96" i="1"/>
  <c r="H472" i="1"/>
  <c r="H159" i="1"/>
  <c r="H156" i="1"/>
  <c r="H155" i="1"/>
  <c r="H154" i="1"/>
  <c r="H110" i="1"/>
  <c r="H102" i="1"/>
  <c r="H468" i="1"/>
  <c r="H48" i="1"/>
  <c r="H22" i="1"/>
  <c r="G158" i="1"/>
  <c r="G132" i="1"/>
  <c r="F57" i="1"/>
  <c r="F9" i="1"/>
  <c r="C45" i="2"/>
  <c r="G51" i="1"/>
  <c r="F51" i="1"/>
  <c r="C37" i="10"/>
  <c r="F40" i="2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/>
  <c r="G44" i="2"/>
  <c r="I458" i="1"/>
  <c r="J39" i="1"/>
  <c r="G38" i="2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C111" i="2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G649" i="1"/>
  <c r="L226" i="1"/>
  <c r="L244" i="1"/>
  <c r="F17" i="13"/>
  <c r="G17" i="13"/>
  <c r="L251" i="1"/>
  <c r="F18" i="13"/>
  <c r="G18" i="13"/>
  <c r="L252" i="1"/>
  <c r="F19" i="13"/>
  <c r="D19" i="13"/>
  <c r="C19" i="13"/>
  <c r="G19" i="13"/>
  <c r="L253" i="1"/>
  <c r="F29" i="13"/>
  <c r="G29" i="13"/>
  <c r="L358" i="1"/>
  <c r="L359" i="1"/>
  <c r="L360" i="1"/>
  <c r="I367" i="1"/>
  <c r="I369" i="1"/>
  <c r="H634" i="1"/>
  <c r="J290" i="1"/>
  <c r="J309" i="1"/>
  <c r="J328" i="1"/>
  <c r="K290" i="1"/>
  <c r="K309" i="1"/>
  <c r="K328" i="1"/>
  <c r="L276" i="1"/>
  <c r="L277" i="1"/>
  <c r="E110" i="2"/>
  <c r="L278" i="1"/>
  <c r="L279" i="1"/>
  <c r="L281" i="1"/>
  <c r="L282" i="1"/>
  <c r="L283" i="1"/>
  <c r="L284" i="1"/>
  <c r="L285" i="1"/>
  <c r="L286" i="1"/>
  <c r="E123" i="2"/>
  <c r="L287" i="1"/>
  <c r="F662" i="1"/>
  <c r="L288" i="1"/>
  <c r="L295" i="1"/>
  <c r="L296" i="1"/>
  <c r="L297" i="1"/>
  <c r="L298" i="1"/>
  <c r="C13" i="10"/>
  <c r="L300" i="1"/>
  <c r="L301" i="1"/>
  <c r="L302" i="1"/>
  <c r="L303" i="1"/>
  <c r="L304" i="1"/>
  <c r="L305" i="1"/>
  <c r="L306" i="1"/>
  <c r="L307" i="1"/>
  <c r="L314" i="1"/>
  <c r="L315" i="1"/>
  <c r="L316" i="1"/>
  <c r="E111" i="2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E131" i="2"/>
  <c r="L342" i="1"/>
  <c r="E132" i="2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A13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401" i="1"/>
  <c r="C139" i="2"/>
  <c r="L396" i="1"/>
  <c r="L397" i="1"/>
  <c r="L398" i="1"/>
  <c r="L399" i="1"/>
  <c r="L400" i="1"/>
  <c r="L403" i="1"/>
  <c r="L404" i="1"/>
  <c r="L405" i="1"/>
  <c r="L406" i="1"/>
  <c r="L266" i="1"/>
  <c r="J60" i="1"/>
  <c r="G56" i="2"/>
  <c r="G59" i="2"/>
  <c r="G61" i="2"/>
  <c r="F2" i="11"/>
  <c r="L613" i="1"/>
  <c r="H663" i="1"/>
  <c r="L612" i="1"/>
  <c r="G663" i="1"/>
  <c r="L611" i="1"/>
  <c r="F663" i="1"/>
  <c r="C40" i="10"/>
  <c r="F60" i="1"/>
  <c r="G60" i="1"/>
  <c r="H60" i="1"/>
  <c r="I60" i="1"/>
  <c r="F79" i="1"/>
  <c r="C57" i="2"/>
  <c r="F94" i="1"/>
  <c r="C58" i="2"/>
  <c r="F111" i="1"/>
  <c r="G111" i="1"/>
  <c r="H79" i="1"/>
  <c r="E57" i="2"/>
  <c r="H94" i="1"/>
  <c r="H111" i="1"/>
  <c r="I111" i="1"/>
  <c r="I112" i="1"/>
  <c r="J111" i="1"/>
  <c r="J112" i="1"/>
  <c r="F121" i="1"/>
  <c r="F136" i="1"/>
  <c r="G121" i="1"/>
  <c r="G136" i="1"/>
  <c r="H121" i="1"/>
  <c r="H136" i="1"/>
  <c r="I121" i="1"/>
  <c r="I136" i="1"/>
  <c r="J121" i="1"/>
  <c r="J140" i="1"/>
  <c r="J136" i="1"/>
  <c r="F147" i="1"/>
  <c r="F162" i="1"/>
  <c r="G147" i="1"/>
  <c r="G162" i="1"/>
  <c r="H147" i="1"/>
  <c r="H162" i="1"/>
  <c r="I147" i="1"/>
  <c r="F85" i="2"/>
  <c r="I162" i="1"/>
  <c r="C19" i="10"/>
  <c r="L250" i="1"/>
  <c r="L332" i="1"/>
  <c r="L254" i="1"/>
  <c r="L268" i="1"/>
  <c r="L269" i="1"/>
  <c r="C143" i="2"/>
  <c r="L349" i="1"/>
  <c r="E142" i="2"/>
  <c r="L350" i="1"/>
  <c r="I665" i="1"/>
  <c r="I670" i="1"/>
  <c r="I672" i="1" s="1"/>
  <c r="C7" i="10" s="1"/>
  <c r="I669" i="1"/>
  <c r="C42" i="10"/>
  <c r="L374" i="1"/>
  <c r="L375" i="1"/>
  <c r="L376" i="1"/>
  <c r="L377" i="1"/>
  <c r="L378" i="1"/>
  <c r="L379" i="1"/>
  <c r="L380" i="1"/>
  <c r="B2" i="10"/>
  <c r="L344" i="1"/>
  <c r="L351" i="1"/>
  <c r="L345" i="1"/>
  <c r="L346" i="1"/>
  <c r="L347" i="1"/>
  <c r="K351" i="1"/>
  <c r="L521" i="1"/>
  <c r="F549" i="1"/>
  <c r="L522" i="1"/>
  <c r="F550" i="1"/>
  <c r="L523" i="1"/>
  <c r="F551" i="1"/>
  <c r="L526" i="1"/>
  <c r="G549" i="1"/>
  <c r="L527" i="1"/>
  <c r="G550" i="1"/>
  <c r="L528" i="1"/>
  <c r="G551" i="1"/>
  <c r="L531" i="1"/>
  <c r="H549" i="1"/>
  <c r="L532" i="1"/>
  <c r="H550" i="1"/>
  <c r="L533" i="1"/>
  <c r="H551" i="1"/>
  <c r="L536" i="1"/>
  <c r="I549" i="1"/>
  <c r="L537" i="1"/>
  <c r="I550" i="1"/>
  <c r="L538" i="1"/>
  <c r="I551" i="1"/>
  <c r="L541" i="1"/>
  <c r="J549" i="1"/>
  <c r="L542" i="1"/>
  <c r="J550" i="1"/>
  <c r="L543" i="1"/>
  <c r="J551" i="1"/>
  <c r="K270" i="1"/>
  <c r="J270" i="1"/>
  <c r="I270" i="1"/>
  <c r="H270" i="1"/>
  <c r="G270" i="1"/>
  <c r="F270" i="1"/>
  <c r="C132" i="2"/>
  <c r="C131" i="2"/>
  <c r="A1" i="2"/>
  <c r="A2" i="2"/>
  <c r="C8" i="2"/>
  <c r="C18" i="2"/>
  <c r="D8" i="2"/>
  <c r="E8" i="2"/>
  <c r="F8" i="2"/>
  <c r="I439" i="1"/>
  <c r="J9" i="1"/>
  <c r="G8" i="2"/>
  <c r="C9" i="2"/>
  <c r="D9" i="2"/>
  <c r="E9" i="2"/>
  <c r="F9" i="2"/>
  <c r="I440" i="1"/>
  <c r="J10" i="1"/>
  <c r="G9" i="2"/>
  <c r="C10" i="2"/>
  <c r="C11" i="2"/>
  <c r="D11" i="2"/>
  <c r="E11" i="2"/>
  <c r="F11" i="2"/>
  <c r="I441" i="1"/>
  <c r="J12" i="1"/>
  <c r="G11" i="2"/>
  <c r="C12" i="2"/>
  <c r="D12" i="2"/>
  <c r="E12" i="2"/>
  <c r="F12" i="2"/>
  <c r="I442" i="1"/>
  <c r="J13" i="1"/>
  <c r="G12" i="2"/>
  <c r="C13" i="2"/>
  <c r="D13" i="2"/>
  <c r="E13" i="2"/>
  <c r="F13" i="2"/>
  <c r="I443" i="1"/>
  <c r="J14" i="1"/>
  <c r="G13" i="2"/>
  <c r="F14" i="2"/>
  <c r="C15" i="2"/>
  <c r="D15" i="2"/>
  <c r="E15" i="2"/>
  <c r="F15" i="2"/>
  <c r="C16" i="2"/>
  <c r="D16" i="2"/>
  <c r="D18" i="2"/>
  <c r="E16" i="2"/>
  <c r="F16" i="2"/>
  <c r="I444" i="1"/>
  <c r="J17" i="1"/>
  <c r="C17" i="2"/>
  <c r="D17" i="2"/>
  <c r="E17" i="2"/>
  <c r="F17" i="2"/>
  <c r="I445" i="1"/>
  <c r="J18" i="1"/>
  <c r="G17" i="2"/>
  <c r="C21" i="2"/>
  <c r="D21" i="2"/>
  <c r="E21" i="2"/>
  <c r="F21" i="2"/>
  <c r="I448" i="1"/>
  <c r="J22" i="1"/>
  <c r="C22" i="2"/>
  <c r="D22" i="2"/>
  <c r="E22" i="2"/>
  <c r="F22" i="2"/>
  <c r="I449" i="1"/>
  <c r="J23" i="1"/>
  <c r="C23" i="2"/>
  <c r="D23" i="2"/>
  <c r="E23" i="2"/>
  <c r="F23" i="2"/>
  <c r="I450" i="1"/>
  <c r="J24" i="1"/>
  <c r="G23" i="2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/>
  <c r="G30" i="2"/>
  <c r="C34" i="2"/>
  <c r="D34" i="2"/>
  <c r="E34" i="2"/>
  <c r="F34" i="2"/>
  <c r="C35" i="2"/>
  <c r="D35" i="2"/>
  <c r="E35" i="2"/>
  <c r="F35" i="2"/>
  <c r="I454" i="1"/>
  <c r="J49" i="1"/>
  <c r="G48" i="2"/>
  <c r="I456" i="1"/>
  <c r="J43" i="1"/>
  <c r="I457" i="1"/>
  <c r="J37" i="1"/>
  <c r="I459" i="1"/>
  <c r="J48" i="1"/>
  <c r="G47" i="2"/>
  <c r="C49" i="2"/>
  <c r="C56" i="2"/>
  <c r="D56" i="2"/>
  <c r="E56" i="2"/>
  <c r="F56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/>
  <c r="E69" i="2"/>
  <c r="E70" i="2"/>
  <c r="F69" i="2"/>
  <c r="F70" i="2"/>
  <c r="G69" i="2"/>
  <c r="G70" i="2"/>
  <c r="C72" i="2"/>
  <c r="F72" i="2"/>
  <c r="C73" i="2"/>
  <c r="F73" i="2"/>
  <c r="F78" i="2"/>
  <c r="F81" i="2"/>
  <c r="C74" i="2"/>
  <c r="C75" i="2"/>
  <c r="C76" i="2"/>
  <c r="E76" i="2"/>
  <c r="F76" i="2"/>
  <c r="C77" i="2"/>
  <c r="D77" i="2"/>
  <c r="D78" i="2"/>
  <c r="E77" i="2"/>
  <c r="E78" i="2"/>
  <c r="F77" i="2"/>
  <c r="G77" i="2"/>
  <c r="G78" i="2"/>
  <c r="C79" i="2"/>
  <c r="D79" i="2"/>
  <c r="E79" i="2"/>
  <c r="C80" i="2"/>
  <c r="E80" i="2"/>
  <c r="C85" i="2"/>
  <c r="D85" i="2"/>
  <c r="E85" i="2"/>
  <c r="C87" i="2"/>
  <c r="E87" i="2"/>
  <c r="F87" i="2"/>
  <c r="C88" i="2"/>
  <c r="D88" i="2"/>
  <c r="D91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E103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2" i="2"/>
  <c r="C113" i="2"/>
  <c r="E113" i="2"/>
  <c r="C114" i="2"/>
  <c r="E114" i="2"/>
  <c r="D115" i="2"/>
  <c r="F115" i="2"/>
  <c r="G115" i="2"/>
  <c r="E120" i="2"/>
  <c r="E121" i="2"/>
  <c r="C122" i="2"/>
  <c r="E122" i="2"/>
  <c r="E124" i="2"/>
  <c r="E125" i="2"/>
  <c r="F128" i="2"/>
  <c r="G128" i="2"/>
  <c r="C130" i="2"/>
  <c r="E130" i="2"/>
  <c r="D134" i="2"/>
  <c r="D144" i="2"/>
  <c r="F134" i="2"/>
  <c r="K419" i="1"/>
  <c r="K427" i="1"/>
  <c r="K433" i="1"/>
  <c r="L263" i="1"/>
  <c r="C135" i="2"/>
  <c r="E135" i="2"/>
  <c r="L264" i="1"/>
  <c r="C136" i="2"/>
  <c r="L265" i="1"/>
  <c r="C137" i="2"/>
  <c r="E137" i="2"/>
  <c r="C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/>
  <c r="G500" i="1"/>
  <c r="C161" i="2"/>
  <c r="H500" i="1"/>
  <c r="D161" i="2"/>
  <c r="I500" i="1"/>
  <c r="E161" i="2"/>
  <c r="J500" i="1"/>
  <c r="F161" i="2"/>
  <c r="B162" i="2"/>
  <c r="C162" i="2"/>
  <c r="D162" i="2"/>
  <c r="E162" i="2"/>
  <c r="F162" i="2"/>
  <c r="B163" i="2"/>
  <c r="C163" i="2"/>
  <c r="D163" i="2"/>
  <c r="E163" i="2"/>
  <c r="F163" i="2"/>
  <c r="F503" i="1"/>
  <c r="B164" i="2"/>
  <c r="G503" i="1"/>
  <c r="C164" i="2"/>
  <c r="H503" i="1"/>
  <c r="D164" i="2"/>
  <c r="I503" i="1"/>
  <c r="E164" i="2"/>
  <c r="J503" i="1"/>
  <c r="F164" i="2"/>
  <c r="F19" i="1"/>
  <c r="G19" i="1"/>
  <c r="G618" i="1"/>
  <c r="H19" i="1"/>
  <c r="G619" i="1"/>
  <c r="I19" i="1"/>
  <c r="F32" i="1"/>
  <c r="F52" i="1"/>
  <c r="G32" i="1"/>
  <c r="G52" i="1"/>
  <c r="H618" i="1"/>
  <c r="H32" i="1"/>
  <c r="I32" i="1"/>
  <c r="H617" i="1"/>
  <c r="H51" i="1"/>
  <c r="H52" i="1"/>
  <c r="H619" i="1"/>
  <c r="I51" i="1"/>
  <c r="I52" i="1"/>
  <c r="H620" i="1"/>
  <c r="F177" i="1"/>
  <c r="I177" i="1"/>
  <c r="F183" i="1"/>
  <c r="G183" i="1"/>
  <c r="H183" i="1"/>
  <c r="I183" i="1"/>
  <c r="J183" i="1"/>
  <c r="J192" i="1"/>
  <c r="F188" i="1"/>
  <c r="G188" i="1"/>
  <c r="H188" i="1"/>
  <c r="H192" i="1"/>
  <c r="I188" i="1"/>
  <c r="F211" i="1"/>
  <c r="G211" i="1"/>
  <c r="H211" i="1"/>
  <c r="I211" i="1"/>
  <c r="J211" i="1"/>
  <c r="K211" i="1"/>
  <c r="F229" i="1"/>
  <c r="F257" i="1"/>
  <c r="F271" i="1"/>
  <c r="G229" i="1"/>
  <c r="H229" i="1"/>
  <c r="I229" i="1"/>
  <c r="J229" i="1"/>
  <c r="K229" i="1"/>
  <c r="F247" i="1"/>
  <c r="G247" i="1"/>
  <c r="H247" i="1"/>
  <c r="H257" i="1"/>
  <c r="H271" i="1"/>
  <c r="I247" i="1"/>
  <c r="J247" i="1"/>
  <c r="K247" i="1"/>
  <c r="F256" i="1"/>
  <c r="G256" i="1"/>
  <c r="L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/>
  <c r="J352" i="1"/>
  <c r="K337" i="1"/>
  <c r="K338" i="1"/>
  <c r="K352" i="1"/>
  <c r="F362" i="1"/>
  <c r="G362" i="1"/>
  <c r="H362" i="1"/>
  <c r="I362" i="1"/>
  <c r="G634" i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G408" i="1"/>
  <c r="H645" i="1"/>
  <c r="H393" i="1"/>
  <c r="I393" i="1"/>
  <c r="F401" i="1"/>
  <c r="G401" i="1"/>
  <c r="H401" i="1"/>
  <c r="I401" i="1"/>
  <c r="F407" i="1"/>
  <c r="G407" i="1"/>
  <c r="H407" i="1"/>
  <c r="I407" i="1"/>
  <c r="F408" i="1"/>
  <c r="H408" i="1"/>
  <c r="H644" i="1"/>
  <c r="I408" i="1"/>
  <c r="L413" i="1"/>
  <c r="L414" i="1"/>
  <c r="L419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/>
  <c r="H446" i="1"/>
  <c r="G641" i="1"/>
  <c r="F452" i="1"/>
  <c r="G452" i="1"/>
  <c r="H452" i="1"/>
  <c r="F460" i="1"/>
  <c r="G460" i="1"/>
  <c r="G461" i="1"/>
  <c r="H640" i="1"/>
  <c r="H460" i="1"/>
  <c r="F461" i="1"/>
  <c r="H639" i="1"/>
  <c r="H461" i="1"/>
  <c r="H641" i="1"/>
  <c r="F470" i="1"/>
  <c r="G470" i="1"/>
  <c r="H470" i="1"/>
  <c r="I470" i="1"/>
  <c r="J470" i="1"/>
  <c r="F474" i="1"/>
  <c r="F476" i="1"/>
  <c r="H622" i="1"/>
  <c r="G474" i="1"/>
  <c r="H474" i="1"/>
  <c r="H476" i="1"/>
  <c r="H62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K545" i="1"/>
  <c r="F529" i="1"/>
  <c r="G529" i="1"/>
  <c r="H529" i="1"/>
  <c r="I529" i="1"/>
  <c r="J529" i="1"/>
  <c r="K529" i="1"/>
  <c r="F534" i="1"/>
  <c r="G534" i="1"/>
  <c r="G545" i="1"/>
  <c r="H534" i="1"/>
  <c r="I534" i="1"/>
  <c r="J534" i="1"/>
  <c r="J545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60" i="1"/>
  <c r="L559" i="1"/>
  <c r="F560" i="1"/>
  <c r="G560" i="1"/>
  <c r="H560" i="1"/>
  <c r="I560" i="1"/>
  <c r="J560" i="1"/>
  <c r="K560" i="1"/>
  <c r="L562" i="1"/>
  <c r="L565" i="1"/>
  <c r="L563" i="1"/>
  <c r="L564" i="1"/>
  <c r="F565" i="1"/>
  <c r="G565" i="1"/>
  <c r="H565" i="1"/>
  <c r="I565" i="1"/>
  <c r="J565" i="1"/>
  <c r="K565" i="1"/>
  <c r="K571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/>
  <c r="I598" i="1"/>
  <c r="H650" i="1"/>
  <c r="J598" i="1"/>
  <c r="H651" i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7" i="1"/>
  <c r="G620" i="1"/>
  <c r="G622" i="1"/>
  <c r="G623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G643" i="1"/>
  <c r="J643" i="1"/>
  <c r="H643" i="1"/>
  <c r="G644" i="1"/>
  <c r="G651" i="1"/>
  <c r="G652" i="1"/>
  <c r="H652" i="1"/>
  <c r="G653" i="1"/>
  <c r="H653" i="1"/>
  <c r="G654" i="1"/>
  <c r="H654" i="1"/>
  <c r="H655" i="1"/>
  <c r="J655" i="1"/>
  <c r="F192" i="1"/>
  <c r="D62" i="2"/>
  <c r="D63" i="2"/>
  <c r="D18" i="13"/>
  <c r="C18" i="13"/>
  <c r="D15" i="13"/>
  <c r="C15" i="13"/>
  <c r="D17" i="13"/>
  <c r="C17" i="13"/>
  <c r="D31" i="2"/>
  <c r="G157" i="2"/>
  <c r="E31" i="2"/>
  <c r="G62" i="2"/>
  <c r="E13" i="13"/>
  <c r="C13" i="13"/>
  <c r="L427" i="1"/>
  <c r="H112" i="1"/>
  <c r="K605" i="1"/>
  <c r="G648" i="1"/>
  <c r="D81" i="2"/>
  <c r="H169" i="1"/>
  <c r="J476" i="1"/>
  <c r="H626" i="1"/>
  <c r="I476" i="1"/>
  <c r="H625" i="1"/>
  <c r="J625" i="1"/>
  <c r="F169" i="1"/>
  <c r="G22" i="2"/>
  <c r="H140" i="1"/>
  <c r="L393" i="1"/>
  <c r="F22" i="13"/>
  <c r="C22" i="13"/>
  <c r="H338" i="1"/>
  <c r="H352" i="1"/>
  <c r="G192" i="1"/>
  <c r="I571" i="1"/>
  <c r="G36" i="2"/>
  <c r="C138" i="2"/>
  <c r="J639" i="1"/>
  <c r="E134" i="2"/>
  <c r="C91" i="2"/>
  <c r="C70" i="2"/>
  <c r="C32" i="10"/>
  <c r="C25" i="10"/>
  <c r="G645" i="1"/>
  <c r="J645" i="1"/>
  <c r="J571" i="1"/>
  <c r="J640" i="1"/>
  <c r="F18" i="2"/>
  <c r="L270" i="1"/>
  <c r="F130" i="2"/>
  <c r="F144" i="2" s="1"/>
  <c r="F145" i="2" s="1"/>
  <c r="L433" i="1"/>
  <c r="I169" i="1"/>
  <c r="C26" i="10"/>
  <c r="F571" i="1"/>
  <c r="H571" i="1"/>
  <c r="I452" i="1"/>
  <c r="G476" i="1"/>
  <c r="H623" i="1"/>
  <c r="J623" i="1"/>
  <c r="K257" i="1"/>
  <c r="J552" i="1"/>
  <c r="E118" i="2"/>
  <c r="G624" i="1"/>
  <c r="J624" i="1"/>
  <c r="G81" i="2"/>
  <c r="G112" i="1"/>
  <c r="J651" i="1"/>
  <c r="K500" i="1"/>
  <c r="J641" i="1"/>
  <c r="D50" i="2"/>
  <c r="C112" i="2"/>
  <c r="A40" i="12"/>
  <c r="A31" i="12"/>
  <c r="L570" i="1"/>
  <c r="I552" i="1"/>
  <c r="L534" i="1"/>
  <c r="H552" i="1"/>
  <c r="I545" i="1"/>
  <c r="H545" i="1"/>
  <c r="G552" i="1"/>
  <c r="K551" i="1"/>
  <c r="L544" i="1"/>
  <c r="K550" i="1"/>
  <c r="L529" i="1"/>
  <c r="K549" i="1"/>
  <c r="F552" i="1"/>
  <c r="K552" i="1"/>
  <c r="L524" i="1"/>
  <c r="L545" i="1"/>
  <c r="G164" i="2"/>
  <c r="G156" i="2"/>
  <c r="G161" i="2"/>
  <c r="K503" i="1"/>
  <c r="L614" i="1"/>
  <c r="K598" i="1"/>
  <c r="G647" i="1"/>
  <c r="J649" i="1"/>
  <c r="C29" i="10"/>
  <c r="L382" i="1"/>
  <c r="G636" i="1"/>
  <c r="J636" i="1"/>
  <c r="F661" i="1"/>
  <c r="J634" i="1"/>
  <c r="G661" i="1"/>
  <c r="D29" i="13"/>
  <c r="C29" i="13"/>
  <c r="D127" i="2"/>
  <c r="D128" i="2"/>
  <c r="D145" i="2"/>
  <c r="H661" i="1"/>
  <c r="L362" i="1"/>
  <c r="G635" i="1"/>
  <c r="J635" i="1"/>
  <c r="H662" i="1"/>
  <c r="E109" i="2"/>
  <c r="E115" i="2"/>
  <c r="L328" i="1"/>
  <c r="L309" i="1"/>
  <c r="E119" i="2"/>
  <c r="C124" i="2"/>
  <c r="E8" i="13"/>
  <c r="C8" i="13"/>
  <c r="I257" i="1"/>
  <c r="I271" i="1"/>
  <c r="C20" i="10"/>
  <c r="C12" i="10"/>
  <c r="G338" i="1"/>
  <c r="G352" i="1"/>
  <c r="F338" i="1"/>
  <c r="F352" i="1"/>
  <c r="C21" i="10"/>
  <c r="C16" i="10"/>
  <c r="E128" i="2"/>
  <c r="L290" i="1"/>
  <c r="C18" i="10"/>
  <c r="C17" i="10"/>
  <c r="C119" i="2"/>
  <c r="C10" i="10"/>
  <c r="C109" i="2"/>
  <c r="G257" i="1"/>
  <c r="G271" i="1"/>
  <c r="E16" i="13"/>
  <c r="C16" i="13"/>
  <c r="C125" i="2"/>
  <c r="K271" i="1"/>
  <c r="H25" i="13"/>
  <c r="C25" i="13"/>
  <c r="J257" i="1"/>
  <c r="J271" i="1"/>
  <c r="C15" i="10"/>
  <c r="D7" i="13"/>
  <c r="C7" i="13"/>
  <c r="C123" i="2"/>
  <c r="L247" i="1"/>
  <c r="H660" i="1"/>
  <c r="C110" i="2"/>
  <c r="C115" i="2"/>
  <c r="G650" i="1"/>
  <c r="J650" i="1"/>
  <c r="H647" i="1"/>
  <c r="J647" i="1"/>
  <c r="G662" i="1"/>
  <c r="I662" i="1"/>
  <c r="C118" i="2"/>
  <c r="D14" i="13"/>
  <c r="C14" i="13"/>
  <c r="L229" i="1"/>
  <c r="G660" i="1"/>
  <c r="D12" i="13"/>
  <c r="C12" i="13"/>
  <c r="C121" i="2"/>
  <c r="C120" i="2"/>
  <c r="D6" i="13"/>
  <c r="C6" i="13"/>
  <c r="C11" i="10"/>
  <c r="D5" i="13"/>
  <c r="C5" i="13"/>
  <c r="L211" i="1"/>
  <c r="J644" i="1"/>
  <c r="I460" i="1"/>
  <c r="I461" i="1"/>
  <c r="H642" i="1"/>
  <c r="I446" i="1"/>
  <c r="G642" i="1"/>
  <c r="E81" i="2"/>
  <c r="E62" i="2"/>
  <c r="E63" i="2"/>
  <c r="C78" i="2"/>
  <c r="C81" i="2"/>
  <c r="F112" i="1"/>
  <c r="C62" i="2"/>
  <c r="C35" i="10"/>
  <c r="C63" i="2"/>
  <c r="J622" i="1"/>
  <c r="J617" i="1"/>
  <c r="L337" i="1"/>
  <c r="F62" i="2"/>
  <c r="F63" i="2"/>
  <c r="F104" i="2"/>
  <c r="C23" i="10"/>
  <c r="G163" i="2"/>
  <c r="G162" i="2"/>
  <c r="G160" i="2"/>
  <c r="G159" i="2"/>
  <c r="G158" i="2"/>
  <c r="G103" i="2"/>
  <c r="F103" i="2"/>
  <c r="C103" i="2"/>
  <c r="F91" i="2"/>
  <c r="E50" i="2"/>
  <c r="E51" i="2"/>
  <c r="C50" i="2"/>
  <c r="F31" i="2"/>
  <c r="C31" i="2"/>
  <c r="E18" i="2"/>
  <c r="E144" i="2"/>
  <c r="F50" i="2"/>
  <c r="F51" i="2"/>
  <c r="C24" i="10"/>
  <c r="G31" i="13"/>
  <c r="G33" i="13"/>
  <c r="I338" i="1"/>
  <c r="I352" i="1"/>
  <c r="L407" i="1"/>
  <c r="C140" i="2"/>
  <c r="C141" i="2"/>
  <c r="C144" i="2"/>
  <c r="L571" i="1"/>
  <c r="I192" i="1"/>
  <c r="E91" i="2"/>
  <c r="D51" i="2"/>
  <c r="J654" i="1"/>
  <c r="J653" i="1"/>
  <c r="G21" i="2"/>
  <c r="G31" i="2"/>
  <c r="J32" i="1"/>
  <c r="L434" i="1"/>
  <c r="G638" i="1"/>
  <c r="J638" i="1"/>
  <c r="J434" i="1"/>
  <c r="F434" i="1"/>
  <c r="K434" i="1"/>
  <c r="G134" i="2"/>
  <c r="G144" i="2"/>
  <c r="G145" i="2"/>
  <c r="F31" i="13"/>
  <c r="F33" i="13"/>
  <c r="J193" i="1"/>
  <c r="G646" i="1"/>
  <c r="H193" i="1"/>
  <c r="G629" i="1"/>
  <c r="J629" i="1"/>
  <c r="G169" i="1"/>
  <c r="C39" i="10"/>
  <c r="G140" i="1"/>
  <c r="F140" i="1"/>
  <c r="F193" i="1"/>
  <c r="G627" i="1"/>
  <c r="J627" i="1"/>
  <c r="G63" i="2"/>
  <c r="J618" i="1"/>
  <c r="G42" i="2"/>
  <c r="G50" i="2"/>
  <c r="G51" i="2"/>
  <c r="J51" i="1"/>
  <c r="G16" i="2"/>
  <c r="J19" i="1"/>
  <c r="G621" i="1"/>
  <c r="G18" i="2"/>
  <c r="F545" i="1"/>
  <c r="H434" i="1"/>
  <c r="J620" i="1"/>
  <c r="J619" i="1"/>
  <c r="D103" i="2"/>
  <c r="D104" i="2"/>
  <c r="I140" i="1"/>
  <c r="I193" i="1"/>
  <c r="G630" i="1"/>
  <c r="J630" i="1"/>
  <c r="A22" i="12"/>
  <c r="H648" i="1"/>
  <c r="J648" i="1"/>
  <c r="J652" i="1"/>
  <c r="G571" i="1"/>
  <c r="I434" i="1"/>
  <c r="G434" i="1"/>
  <c r="I663" i="1"/>
  <c r="C36" i="10"/>
  <c r="H33" i="13"/>
  <c r="L338" i="1"/>
  <c r="L352" i="1"/>
  <c r="G633" i="1"/>
  <c r="J633" i="1"/>
  <c r="G104" i="2"/>
  <c r="E145" i="2"/>
  <c r="C27" i="10"/>
  <c r="C28" i="10"/>
  <c r="D24" i="10"/>
  <c r="I661" i="1"/>
  <c r="H664" i="1"/>
  <c r="H667" i="1"/>
  <c r="G664" i="1"/>
  <c r="G672" i="1"/>
  <c r="C5" i="10" s="1"/>
  <c r="D31" i="13"/>
  <c r="C31" i="13"/>
  <c r="E33" i="13"/>
  <c r="D35" i="13"/>
  <c r="C128" i="2"/>
  <c r="C145" i="2"/>
  <c r="L257" i="1"/>
  <c r="L271" i="1"/>
  <c r="G632" i="1"/>
  <c r="J632" i="1"/>
  <c r="F660" i="1"/>
  <c r="L408" i="1"/>
  <c r="J642" i="1"/>
  <c r="E104" i="2"/>
  <c r="C104" i="2"/>
  <c r="C51" i="2"/>
  <c r="G631" i="1"/>
  <c r="J631" i="1"/>
  <c r="G193" i="1"/>
  <c r="G628" i="1"/>
  <c r="J628" i="1"/>
  <c r="G626" i="1"/>
  <c r="J626" i="1"/>
  <c r="J52" i="1"/>
  <c r="H621" i="1"/>
  <c r="J621" i="1"/>
  <c r="C38" i="10"/>
  <c r="H672" i="1"/>
  <c r="C6" i="10" s="1"/>
  <c r="G667" i="1"/>
  <c r="D23" i="10"/>
  <c r="D33" i="13"/>
  <c r="D36" i="13"/>
  <c r="D10" i="10"/>
  <c r="C30" i="10"/>
  <c r="D26" i="10"/>
  <c r="D16" i="10"/>
  <c r="D13" i="10"/>
  <c r="D11" i="10"/>
  <c r="D21" i="10"/>
  <c r="D22" i="10"/>
  <c r="D27" i="10"/>
  <c r="D20" i="10"/>
  <c r="D18" i="10"/>
  <c r="D15" i="10"/>
  <c r="D17" i="10"/>
  <c r="D25" i="10"/>
  <c r="D12" i="10"/>
  <c r="D19" i="10"/>
  <c r="F664" i="1"/>
  <c r="I660" i="1"/>
  <c r="I664" i="1"/>
  <c r="G637" i="1"/>
  <c r="J637" i="1"/>
  <c r="H646" i="1"/>
  <c r="J646" i="1"/>
  <c r="C41" i="10"/>
  <c r="D38" i="10"/>
  <c r="D28" i="10"/>
  <c r="I667" i="1"/>
  <c r="F672" i="1"/>
  <c r="C4" i="10" s="1"/>
  <c r="F667" i="1"/>
  <c r="H656" i="1"/>
  <c r="D37" i="10"/>
  <c r="D36" i="10"/>
  <c r="D35" i="10"/>
  <c r="D40" i="10"/>
  <c r="D39" i="10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<sst xmlns="http://schemas.openxmlformats.org/spreadsheetml/2006/main" count="3969" uniqueCount="925">
  <si>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</si>
  <si>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</si>
  <si>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</si>
  <si>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</si>
  <si>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</si>
  <si>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</si>
  <si>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</si>
  <si>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</si>
  <si>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</si>
  <si>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</si>
  <si>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</si>
  <si>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</si>
  <si>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</si>
  <si>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</si>
  <si>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</si>
  <si>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</si>
  <si>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</si>
  <si>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</si>
  <si>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</si>
  <si>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</si>
  <si>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</si>
  <si>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</si>
  <si>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</si>
  <si>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</si>
  <si>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</si>
  <si>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</si>
  <si>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</si>
  <si>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</si>
  <si>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</si>
  <si>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</si>
  <si>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</si>
  <si>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</si>
  <si>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</si>
  <si>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</si>
  <si>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</si>
  <si>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</si>
  <si>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</si>
  <si>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</si>
  <si>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</si>
  <si>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</si>
  <si>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</si>
  <si>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</si>
  <si>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</si>
  <si>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</si>
  <si>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</si>
  <si>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</si>
  <si>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</si>
  <si>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</si>
  <si>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</si>
  <si>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</si>
  <si>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</si>
  <si>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</si>
  <si>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</si>
  <si>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</si>
  <si>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</si>
  <si>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</si>
  <si>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</si>
  <si>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</si>
  <si>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</si>
  <si>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</si>
  <si>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</si>
  <si>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</si>
  <si>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</si>
  <si>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</si>
  <si>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</si>
  <si>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</si>
  <si>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</si>
  <si>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</si>
  <si>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</si>
  <si>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</si>
  <si>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</si>
  <si>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</si>
  <si>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</si>
  <si>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</si>
  <si>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</si>
  <si>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</si>
  <si>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</si>
  <si>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</si>
  <si>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</si>
  <si>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</si>
  <si>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</si>
  <si>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</si>
  <si>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</si>
  <si>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</si>
  <si>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</si>
  <si>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</si>
  <si>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</si>
  <si>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</si>
  <si>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</si>
  <si>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</si>
  <si>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</si>
  <si>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</si>
  <si>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</si>
  <si>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</si>
  <si>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</si>
  <si>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</si>
  <si>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</si>
  <si>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</si>
  <si>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</si>
  <si>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</si>
  <si>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</si>
  <si>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</si>
  <si>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</si>
  <si>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</si>
  <si>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</si>
  <si>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</si>
  <si>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</si>
  <si>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</si>
  <si>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</si>
  <si>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</si>
  <si>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</si>
  <si>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</si>
  <si>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</si>
  <si>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</si>
  <si>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</si>
  <si>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</si>
  <si>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</si>
  <si>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</si>
  <si>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</si>
  <si>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</si>
  <si>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</si>
  <si>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</si>
  <si>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</si>
  <si>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</si>
  <si>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</si>
  <si>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</si>
  <si>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</si>
  <si>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</si>
  <si>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</si>
  <si>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</si>
  <si>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</si>
  <si>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</si>
  <si>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</si>
  <si>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</si>
  <si>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</si>
  <si>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</si>
  <si>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</si>
  <si>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</si>
  <si>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</si>
  <si>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</si>
  <si>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</si>
  <si>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</si>
  <si>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</si>
  <si>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</si>
  <si>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</si>
  <si>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</si>
  <si>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</si>
  <si>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</si>
  <si>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</si>
  <si>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</si>
  <si>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</si>
  <si>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</si>
  <si>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</si>
  <si>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</si>
  <si>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</si>
  <si>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</si>
  <si>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</si>
  <si>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</si>
  <si>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</si>
  <si>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</si>
  <si>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</si>
  <si>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</si>
  <si>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</si>
  <si>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</si>
  <si>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</si>
  <si>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</si>
  <si>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</si>
  <si>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</si>
  <si>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</si>
  <si>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</si>
  <si>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</si>
  <si>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</si>
  <si>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</si>
  <si>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</si>
  <si>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</si>
  <si>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</si>
  <si>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</si>
  <si>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</si>
  <si>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</si>
  <si>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</si>
  <si>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</si>
  <si>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</si>
  <si>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</si>
  <si>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</si>
  <si>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</si>
  <si>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</si>
  <si>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</si>
  <si>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</si>
  <si>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</si>
  <si>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</si>
  <si>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</si>
  <si>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</si>
  <si>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</si>
  <si>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</si>
  <si>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</si>
  <si>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</si>
  <si>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</si>
  <si>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</si>
  <si>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</si>
  <si>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</si>
  <si>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</si>
  <si>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</si>
  <si>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</si>
  <si>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</si>
  <si>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</si>
  <si>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</si>
  <si>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</si>
  <si>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</si>
  <si>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</si>
  <si>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</si>
  <si>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</si>
  <si>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</si>
  <si>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</si>
  <si>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</si>
  <si>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</si>
  <si>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</si>
  <si>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</si>
  <si>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</si>
  <si>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</si>
  <si>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</si>
  <si>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</si>
  <si>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</si>
  <si>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</si>
  <si>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</si>
  <si>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</si>
  <si>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</si>
  <si>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</si>
  <si>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</si>
  <si>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</si>
  <si>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</si>
  <si>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</si>
  <si>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</si>
  <si>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</si>
  <si>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</si>
  <si>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</si>
  <si>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</si>
  <si>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</si>
  <si>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</si>
  <si>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</si>
  <si>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</si>
  <si>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</si>
  <si>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</si>
  <si>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</si>
  <si>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</si>
  <si>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</si>
  <si>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</si>
  <si>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</si>
  <si>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</si>
  <si>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</si>
  <si>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</si>
  <si>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</si>
  <si>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</si>
  <si>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</si>
  <si>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</si>
  <si>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</si>
  <si>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</si>
  <si>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</si>
  <si>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</si>
  <si>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</si>
  <si>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</si>
  <si>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</si>
  <si>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</si>
  <si>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</si>
  <si>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</si>
  <si>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</si>
  <si>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</si>
  <si>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</si>
  <si>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</si>
  <si>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</si>
  <si>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</si>
  <si>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</si>
  <si>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</si>
  <si>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</si>
  <si>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</si>
  <si>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</si>
  <si>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</si>
  <si>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</si>
  <si>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</si>
  <si>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</si>
  <si>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</si>
  <si>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</si>
  <si>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</si>
  <si>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</si>
  <si>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</si>
  <si>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</si>
  <si>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</si>
  <si>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</si>
  <si>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</si>
  <si>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</si>
  <si>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</si>
  <si>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</si>
  <si>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</si>
  <si>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</si>
  <si>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</si>
  <si>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</si>
  <si>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</si>
  <si>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</si>
  <si>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</si>
  <si>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</si>
  <si>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</si>
  <si>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</si>
  <si>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</si>
  <si>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</si>
  <si>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</si>
  <si>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</si>
  <si>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</si>
  <si>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</si>
  <si>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</si>
  <si>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</si>
  <si>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</si>
  <si>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</si>
  <si>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</si>
  <si>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</si>
  <si>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</si>
  <si>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</si>
  <si>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</si>
  <si>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</si>
  <si>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</si>
  <si>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</si>
  <si>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</si>
  <si>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</si>
  <si>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</si>
  <si>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</si>
  <si>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</si>
  <si>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</si>
  <si>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</si>
  <si>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</si>
  <si>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</si>
  <si>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</si>
  <si>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</si>
  <si>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</si>
  <si>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</si>
  <si>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</si>
  <si>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</si>
  <si>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</si>
  <si>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</si>
  <si>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</si>
  <si>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</si>
  <si>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</si>
  <si>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</si>
  <si>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</si>
  <si>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</si>
  <si>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</si>
  <si>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</si>
  <si>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</si>
  <si>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</si>
  <si>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</si>
  <si>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</si>
  <si>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</si>
  <si>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</si>
  <si>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</si>
  <si>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</si>
  <si>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</si>
  <si>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</si>
  <si>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</si>
  <si>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</si>
  <si>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</si>
  <si>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</si>
  <si>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</si>
  <si>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</si>
  <si>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</si>
  <si>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</si>
  <si>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</si>
  <si>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</si>
  <si>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</si>
  <si>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</si>
  <si>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</si>
  <si>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</si>
  <si>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</si>
  <si>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</si>
  <si>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</si>
  <si>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</si>
  <si>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</si>
  <si>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</si>
  <si>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</si>
  <si>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</si>
  <si>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</si>
  <si>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</si>
  <si>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</si>
  <si>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</si>
  <si>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</si>
  <si>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</si>
  <si>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</si>
  <si>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</si>
  <si>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</si>
  <si>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</si>
  <si>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</si>
  <si>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</si>
  <si>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</si>
  <si>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</si>
  <si>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</si>
  <si>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</si>
  <si>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</si>
  <si>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</si>
  <si>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</si>
  <si>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</si>
  <si>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</si>
  <si>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</si>
  <si>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</si>
  <si>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</si>
  <si>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</si>
  <si>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</si>
  <si>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</si>
  <si>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</si>
  <si>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</si>
  <si>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</si>
  <si>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</si>
  <si>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</si>
  <si>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</si>
  <si>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</si>
  <si>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</si>
  <si>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</si>
  <si>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</si>
  <si>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</si>
  <si>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</si>
  <si>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</si>
  <si>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</si>
  <si>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</si>
  <si>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</si>
  <si>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</si>
  <si>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</si>
  <si>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</si>
  <si>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</si>
  <si>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</si>
  <si>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</si>
  <si>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</si>
  <si>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</si>
  <si>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</si>
  <si>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</si>
  <si>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</si>
  <si>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</si>
  <si>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</si>
  <si>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</si>
  <si>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</si>
  <si>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</si>
  <si>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</si>
  <si>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</si>
  <si>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</si>
  <si>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</si>
  <si>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</si>
  <si>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</si>
  <si>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</si>
  <si>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</si>
  <si>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</si>
  <si>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</si>
  <si>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</si>
  <si>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</si>
  <si>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</si>
  <si>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</si>
  <si>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</si>
  <si>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</si>
  <si>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</si>
  <si>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</si>
  <si>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</si>
  <si>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</si>
  <si>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</si>
  <si>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</si>
  <si>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</si>
  <si>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</si>
  <si>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</si>
  <si>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</si>
  <si>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</si>
  <si>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</si>
  <si>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</si>
  <si>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</si>
  <si>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</si>
  <si>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</si>
  <si>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</si>
  <si>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</si>
  <si>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</si>
  <si>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</si>
  <si>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</si>
  <si>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</si>
  <si>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</si>
  <si>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</si>
  <si>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</si>
  <si>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</si>
  <si>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</si>
  <si>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</si>
  <si>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</si>
  <si>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</si>
  <si>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</si>
  <si>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</si>
  <si>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</si>
  <si>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</si>
  <si>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</si>
  <si>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</si>
  <si>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</si>
  <si>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</si>
  <si>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</si>
  <si>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</si>
  <si>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</si>
  <si>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</si>
  <si>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</si>
  <si>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</si>
  <si>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</si>
  <si>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</si>
  <si>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</si>
  <si>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</si>
  <si>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</si>
  <si>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</si>
  <si>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</si>
  <si>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</si>
  <si>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</si>
  <si>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</si>
  <si>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</si>
  <si>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</si>
  <si>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</si>
  <si>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</si>
  <si>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</si>
  <si>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</si>
  <si>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</si>
  <si>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</si>
  <si>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</si>
  <si>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</si>
  <si>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</si>
  <si>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</si>
  <si>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</si>
  <si>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</si>
  <si>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</si>
  <si>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</si>
  <si>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</si>
  <si>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</si>
  <si>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</si>
  <si>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</si>
  <si>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</si>
  <si>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</si>
  <si>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</si>
  <si>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</si>
  <si>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</si>
  <si>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</si>
  <si>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</si>
  <si>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</si>
  <si>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</si>
  <si>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</si>
  <si>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</si>
  <si>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</si>
  <si>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</si>
  <si>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</si>
  <si>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</si>
  <si>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</si>
  <si>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</si>
  <si>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</si>
  <si>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</si>
  <si>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</si>
  <si>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</si>
  <si>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</si>
  <si>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</si>
  <si>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</si>
  <si>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</si>
  <si>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</si>
  <si>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</si>
  <si>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</si>
  <si>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</si>
  <si>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</si>
  <si>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</si>
  <si>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</si>
  <si>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</si>
  <si>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</si>
  <si>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</si>
  <si>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</si>
  <si>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</si>
  <si>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</si>
  <si>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</si>
  <si>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</si>
  <si>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</si>
  <si>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</si>
  <si>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</si>
  <si>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</si>
  <si>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</si>
  <si>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</si>
  <si>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</si>
  <si>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</si>
  <si>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</si>
  <si>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</si>
  <si>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</si>
  <si>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</si>
  <si>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</si>
  <si>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</si>
  <si>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</si>
  <si>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</si>
  <si>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</si>
  <si>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</si>
  <si>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</si>
  <si>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</si>
  <si>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</si>
  <si>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</si>
  <si>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</si>
  <si>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</si>
  <si>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</si>
  <si>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</si>
  <si>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</si>
  <si>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</si>
  <si>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</si>
  <si>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</si>
  <si>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</si>
  <si>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</si>
  <si>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</si>
  <si>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</si>
  <si>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</si>
  <si>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</si>
  <si>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</si>
  <si>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</si>
  <si>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</si>
  <si>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</si>
  <si>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</si>
  <si>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</si>
  <si>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</si>
  <si>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</si>
  <si>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</si>
  <si>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</si>
  <si>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</si>
  <si>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</si>
  <si>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</si>
  <si>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</si>
  <si>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</si>
  <si>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</si>
  <si>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</si>
  <si>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</si>
  <si>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</si>
  <si>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</si>
  <si>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</si>
  <si>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</si>
  <si>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</si>
  <si>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</si>
  <si>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</si>
  <si>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</si>
  <si>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</si>
  <si>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</si>
  <si>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</si>
  <si>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</si>
  <si>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</si>
  <si>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</si>
  <si>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</si>
  <si>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</si>
  <si>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</si>
  <si>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</si>
  <si>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</si>
  <si>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</si>
  <si>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</si>
  <si>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</si>
  <si>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</si>
  <si>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</si>
  <si>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</si>
  <si>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</si>
  <si>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</si>
  <si>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</si>
  <si>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</si>
  <si>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</si>
  <si>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</si>
  <si>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</si>
  <si>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</si>
  <si>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</si>
  <si>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</si>
  <si>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</si>
  <si>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</si>
  <si>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</si>
  <si>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</si>
  <si>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</si>
  <si>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</si>
  <si>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</si>
  <si>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</si>
  <si>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</si>
  <si>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</si>
  <si>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</si>
  <si>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</si>
  <si>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</si>
  <si>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</si>
  <si>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</si>
  <si>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</si>
  <si>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</si>
  <si>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</si>
  <si>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</si>
  <si>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</si>
  <si>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</si>
  <si>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</si>
  <si>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</si>
  <si>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</si>
  <si>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</si>
  <si>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</si>
  <si>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</si>
  <si>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</si>
  <si>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</si>
  <si>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</si>
  <si>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</si>
  <si>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</si>
  <si>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</si>
  <si>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</si>
  <si>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</si>
  <si>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</si>
  <si>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</si>
  <si>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</si>
  <si>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</si>
  <si>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</si>
  <si>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</si>
  <si>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</si>
  <si>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</si>
  <si>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</si>
  <si>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</si>
  <si>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</si>
  <si>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</si>
  <si>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</si>
  <si>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</si>
  <si>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</si>
  <si>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</si>
  <si>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</si>
  <si>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</si>
  <si>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</si>
  <si>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</si>
  <si>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</si>
  <si>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</si>
  <si>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</si>
  <si>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</si>
  <si>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</si>
  <si>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</si>
  <si>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</si>
  <si>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</si>
  <si>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</si>
  <si>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</si>
  <si>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</si>
  <si>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</si>
  <si>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</si>
  <si>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</si>
  <si>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</si>
  <si>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</si>
  <si>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</si>
  <si>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</si>
  <si>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</si>
  <si>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</si>
  <si>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</si>
  <si>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</si>
  <si>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</si>
  <si>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</si>
  <si>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</si>
  <si>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</si>
  <si>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</si>
  <si>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</si>
  <si>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</si>
  <si>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</si>
  <si>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</si>
  <si>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</si>
  <si>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</si>
  <si>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</si>
  <si>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</si>
  <si>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</si>
  <si>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</si>
  <si>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</si>
  <si>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</si>
  <si>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</si>
  <si>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</si>
  <si>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</si>
  <si>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</si>
  <si>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</si>
  <si>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</si>
  <si>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</si>
  <si>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</si>
  <si>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</si>
  <si>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</si>
  <si>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</si>
  <si>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</si>
  <si>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</si>
  <si>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</si>
  <si>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</si>
  <si>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</si>
  <si>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</si>
  <si>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</si>
  <si>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</si>
  <si>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</si>
  <si>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</si>
  <si>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</si>
  <si>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</si>
  <si>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</si>
  <si>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</si>
  <si>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</si>
  <si>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</si>
  <si>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</si>
  <si>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</si>
  <si>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</si>
  <si>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</si>
  <si>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</si>
  <si>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</si>
  <si>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</si>
  <si>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</si>
  <si>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</si>
  <si>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</si>
  <si>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</si>
  <si>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</si>
  <si>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</si>
  <si>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</si>
  <si>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</si>
  <si>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</si>
  <si>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</si>
  <si>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</si>
  <si>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</si>
  <si>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</si>
  <si>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</si>
  <si>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</si>
  <si>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</si>
  <si>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</si>
  <si>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</si>
  <si>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</si>
  <si>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</si>
  <si>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</si>
  <si>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</si>
  <si>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</si>
  <si>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</si>
  <si>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</si>
  <si>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</si>
  <si>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</si>
  <si>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</si>
  <si>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</si>
  <si>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</si>
  <si>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</si>
  <si>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</si>
  <si>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</si>
  <si>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</si>
  <si>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</si>
  <si>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</si>
  <si>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</si>
  <si>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</si>
  <si>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</si>
  <si>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</si>
  <si>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</si>
  <si>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</si>
  <si>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</si>
  <si>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</si>
  <si>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</si>
  <si>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</si>
  <si>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</si>
  <si>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</si>
  <si>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</si>
  <si>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</si>
  <si>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</si>
  <si>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</si>
  <si>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</si>
  <si>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</si>
  <si>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</si>
  <si>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</si>
  <si>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</si>
  <si>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</si>
  <si>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</si>
  <si>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</si>
  <si>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</si>
  <si>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</si>
  <si>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</si>
  <si>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</si>
  <si>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</si>
  <si>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</si>
  <si>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</si>
  <si>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</si>
  <si>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</si>
  <si>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</si>
  <si>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</si>
  <si>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</si>
  <si>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</si>
  <si>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</si>
  <si>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</si>
  <si>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</si>
  <si>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</si>
  <si>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</si>
  <si>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</si>
  <si>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</si>
  <si>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</si>
  <si>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</si>
  <si>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</si>
  <si>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</si>
  <si>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</si>
  <si>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</si>
  <si>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</si>
  <si>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</si>
  <si>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</si>
  <si>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</si>
  <si>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</si>
  <si>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</si>
  <si>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</si>
  <si>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</si>
  <si>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</si>
  <si>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</si>
  <si>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</si>
  <si>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</si>
  <si>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</si>
  <si>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</si>
  <si>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</si>
  <si>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</si>
  <si>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</si>
  <si>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</si>
  <si>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</si>
  <si>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</si>
  <si>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</si>
  <si>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</si>
  <si>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</si>
  <si>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</si>
  <si>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</si>
  <si>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</si>
  <si>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</si>
  <si>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</si>
  <si>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</si>
  <si>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</si>
  <si>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</si>
  <si>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</si>
  <si>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</si>
  <si>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</si>
  <si>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</si>
  <si>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</si>
  <si>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</si>
  <si>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</si>
  <si>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</si>
  <si>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</si>
  <si>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</si>
  <si>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</si>
  <si>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</si>
  <si>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</si>
  <si>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Milford School District SAU #40</t>
  </si>
  <si>
    <t>01/00</t>
  </si>
  <si>
    <t>01/20</t>
  </si>
  <si>
    <t>07/13</t>
  </si>
  <si>
    <t>08/23</t>
  </si>
  <si>
    <t>Jan 2008</t>
  </si>
  <si>
    <t>Jan 2028</t>
  </si>
  <si>
    <t>Aug 2027</t>
  </si>
  <si>
    <t>June 2017</t>
  </si>
  <si>
    <t>Nov 2014</t>
  </si>
  <si>
    <t>Oct 2020</t>
  </si>
  <si>
    <t>Unrealized gains for trust funds</t>
  </si>
  <si>
    <t>Auditor adjustment to Fund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</si>
</sst>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125" zoomScaleNormal="125" workbookViewId="0">
      <pane xSplit="5" ySplit="3" topLeftCell="F641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357</v>
      </c>
      <c r="C2" s="21">
        <v>357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f>31.87+911953.69+2503349.57</f>
        <v>3415335.13</v>
      </c>
      <c r="G9" s="18">
        <v>365</v>
      </c>
      <c r="H9" s="18"/>
      <c r="I9" s="18"/>
      <c r="J9" s="67">
        <f>SUM(I439)</f>
        <v>0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v>109400.8</v>
      </c>
      <c r="G12" s="18">
        <v>54248.25</v>
      </c>
      <c r="H12" s="18"/>
      <c r="I12" s="18">
        <v>2503349.5699999998</v>
      </c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214999.62</v>
      </c>
      <c r="G13" s="18">
        <v>11364.36</v>
      </c>
      <c r="H13" s="18">
        <v>161269.4</v>
      </c>
      <c r="I13" s="18"/>
      <c r="J13" s="67">
        <f>SUM(I442)</f>
        <v>4430975.8599999994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56.95</v>
      </c>
      <c r="G14" s="18"/>
      <c r="H14" s="18">
        <v>14950</v>
      </c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/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>
        <v>79305.08</v>
      </c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3819097.58</v>
      </c>
      <c r="G19" s="41">
        <f>SUM(G9:G18)</f>
        <v>65977.61</v>
      </c>
      <c r="H19" s="41">
        <f>SUM(H9:H18)</f>
        <v>176219.4</v>
      </c>
      <c r="I19" s="41">
        <f>SUM(I9:I18)</f>
        <v>2503349.5699999998</v>
      </c>
      <c r="J19" s="41">
        <f>SUM(J9:J18)</f>
        <v>4430975.8599999994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>
        <v>2557597.8199999998</v>
      </c>
      <c r="G22" s="18"/>
      <c r="H22" s="18">
        <f>103559.75+5841.05</f>
        <v>109400.8</v>
      </c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39706.629999999997</v>
      </c>
      <c r="G24" s="18"/>
      <c r="H24" s="18"/>
      <c r="I24" s="18">
        <v>14784.5</v>
      </c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>
        <v>221772.89</v>
      </c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/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/>
      <c r="G30" s="18">
        <v>23122.26</v>
      </c>
      <c r="H30" s="18"/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2819077.34</v>
      </c>
      <c r="G32" s="41">
        <f>SUM(G22:G31)</f>
        <v>23122.26</v>
      </c>
      <c r="H32" s="41">
        <f>SUM(H22:H31)</f>
        <v>109400.8</v>
      </c>
      <c r="I32" s="41">
        <f>SUM(I22:I31)</f>
        <v>14784.5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>
        <v>79305.08</v>
      </c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61186.69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67353.429999999993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4302435.74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>
        <v>200000</v>
      </c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/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>
        <v>42855.35</v>
      </c>
      <c r="H48" s="18">
        <f>57709.65+9108.95</f>
        <v>66818.600000000006</v>
      </c>
      <c r="I48" s="18">
        <v>2488565.0699999998</v>
      </c>
      <c r="J48" s="13">
        <f>SUM(I459)</f>
        <v>0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>
        <v>96047.42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624667.74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1000020.24</v>
      </c>
      <c r="G51" s="41">
        <f>SUM(G35:G50)</f>
        <v>42855.35</v>
      </c>
      <c r="H51" s="41">
        <f>SUM(H35:H50)</f>
        <v>66818.600000000006</v>
      </c>
      <c r="I51" s="41">
        <f>SUM(I35:I50)</f>
        <v>2488565.0699999998</v>
      </c>
      <c r="J51" s="41">
        <f>SUM(J35:J50)</f>
        <v>4430975.8600000003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3819097.58</v>
      </c>
      <c r="G52" s="41">
        <f>G51+G32</f>
        <v>65977.61</v>
      </c>
      <c r="H52" s="41">
        <f>H51+H32</f>
        <v>176219.40000000002</v>
      </c>
      <c r="I52" s="41">
        <f>I51+I32</f>
        <v>2503349.5699999998</v>
      </c>
      <c r="J52" s="41">
        <f>J51+J32</f>
        <v>4430975.8600000003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f>29021049-3024936</f>
        <v>25996113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25996113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>
        <v>53384.82</v>
      </c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>
        <v>360</v>
      </c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>
        <v>104455</v>
      </c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>
        <v>1008377.33</v>
      </c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>
        <v>325189.49</v>
      </c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>
        <v>19984.75</v>
      </c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1407296.39</v>
      </c>
      <c r="G79" s="45" t="s">
        <v>286</v>
      </c>
      <c r="H79" s="41">
        <f>SUM(H63:H78)</f>
        <v>104455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9548.65</v>
      </c>
      <c r="G96" s="18"/>
      <c r="H96" s="18"/>
      <c r="I96" s="18">
        <v>12467.34</v>
      </c>
      <c r="J96" s="18">
        <f>67353.43+61186.69</f>
        <v>128540.12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382729.63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>
        <v>4545.95</v>
      </c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>
        <f>14694.42</f>
        <v>14694.42</v>
      </c>
      <c r="I102" s="18"/>
      <c r="J102" s="18">
        <v>38956.61</v>
      </c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/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16854.71</v>
      </c>
      <c r="G110" s="18"/>
      <c r="H110" s="18">
        <f>5000+1576</f>
        <v>6576</v>
      </c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30949.309999999998</v>
      </c>
      <c r="G111" s="41">
        <f>SUM(G96:G110)</f>
        <v>382729.63</v>
      </c>
      <c r="H111" s="41">
        <f>SUM(H96:H110)</f>
        <v>21270.42</v>
      </c>
      <c r="I111" s="41">
        <f>SUM(I96:I110)</f>
        <v>12467.34</v>
      </c>
      <c r="J111" s="41">
        <f>SUM(J96:J110)</f>
        <v>167496.72999999998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27434358.699999999</v>
      </c>
      <c r="G112" s="41">
        <f>G60+G111</f>
        <v>382729.63</v>
      </c>
      <c r="H112" s="41">
        <f>H60+H79+H94+H111</f>
        <v>125725.42</v>
      </c>
      <c r="I112" s="41">
        <f>I60+I111</f>
        <v>12467.34</v>
      </c>
      <c r="J112" s="41">
        <f>J60+J111</f>
        <v>167496.72999999998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7278914.0899999999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3024936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32636.19</v>
      </c>
      <c r="G120" s="18"/>
      <c r="H120" s="18">
        <v>5299</v>
      </c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10336486.279999999</v>
      </c>
      <c r="G121" s="41">
        <f>SUM(G117:G120)</f>
        <v>0</v>
      </c>
      <c r="H121" s="41">
        <f>SUM(H117:H120)</f>
        <v>5299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>
        <v>240864.93</v>
      </c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144656.51999999999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>
        <v>56893.8</v>
      </c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>
        <v>5843.8</v>
      </c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f>7789.54+1460.04</f>
        <v>9249.58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>
        <v>124203.1</v>
      </c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572462.14999999991</v>
      </c>
      <c r="G136" s="41">
        <f>SUM(G123:G135)</f>
        <v>9249.58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10908948.43</v>
      </c>
      <c r="G140" s="41">
        <f>G121+SUM(G136:G137)</f>
        <v>9249.58</v>
      </c>
      <c r="H140" s="41">
        <f>H121+SUM(H136:H139)</f>
        <v>5299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f>27289.41+277330.82</f>
        <v>304620.23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f>2500+14198+83861.39</f>
        <v>100559.39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>
        <f>459.03+100513.82+2276.89</f>
        <v>103249.74</v>
      </c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f>152236.53+48079.03</f>
        <v>200315.56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>
        <f>67620.3+549805.51</f>
        <v>617425.81000000006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392291.69</v>
      </c>
      <c r="G160" s="24" t="s">
        <v>286</v>
      </c>
      <c r="H160" s="18">
        <v>1029</v>
      </c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>
        <v>3180</v>
      </c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392291.69</v>
      </c>
      <c r="G162" s="41">
        <f>SUM(G150:G161)</f>
        <v>200315.56</v>
      </c>
      <c r="H162" s="41">
        <f>SUM(H150:H161)</f>
        <v>1130064.17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392291.69</v>
      </c>
      <c r="G169" s="41">
        <f>G147+G162+SUM(G163:G168)</f>
        <v>200315.56</v>
      </c>
      <c r="H169" s="41">
        <f>H147+H162+SUM(H163:H168)</f>
        <v>1130064.17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>
        <v>2553500</v>
      </c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>
        <v>446500</v>
      </c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3000000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/>
      <c r="H179" s="18"/>
      <c r="I179" s="18"/>
      <c r="J179" s="18"/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>
        <v>35000</v>
      </c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35000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35000</v>
      </c>
      <c r="G192" s="41">
        <f>G183+SUM(G188:G191)</f>
        <v>0</v>
      </c>
      <c r="H192" s="41">
        <f>+H183+SUM(H188:H191)</f>
        <v>0</v>
      </c>
      <c r="I192" s="41">
        <f>I177+I183+SUM(I188:I191)</f>
        <v>3000000</v>
      </c>
      <c r="J192" s="41">
        <f>J183</f>
        <v>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38770598.819999993</v>
      </c>
      <c r="G193" s="47">
        <f>G112+G140+G169+G192</f>
        <v>592294.77</v>
      </c>
      <c r="H193" s="47">
        <f>H112+H140+H169+H192</f>
        <v>1261088.5899999999</v>
      </c>
      <c r="I193" s="47">
        <f>I112+I140+I169+I192</f>
        <v>3012467.34</v>
      </c>
      <c r="J193" s="47">
        <f>J112+J140+J192</f>
        <v>167496.72999999998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f>3507871.07-5202.79</f>
        <v>3502668.28</v>
      </c>
      <c r="G197" s="18">
        <f>2018331.97+0.01</f>
        <v>2018331.98</v>
      </c>
      <c r="H197" s="18">
        <f>9962.9</f>
        <v>9962.9</v>
      </c>
      <c r="I197" s="18">
        <f>117791.72</f>
        <v>117791.72</v>
      </c>
      <c r="J197" s="18">
        <f>21605.89</f>
        <v>21605.89</v>
      </c>
      <c r="K197" s="18">
        <f>267.5</f>
        <v>267.5</v>
      </c>
      <c r="L197" s="19">
        <f>SUM(F197:K197)</f>
        <v>5670628.2699999996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f>1642890.89+115620.27</f>
        <v>1758511.16</v>
      </c>
      <c r="G198" s="18">
        <f>835389.75</f>
        <v>835389.75</v>
      </c>
      <c r="H198" s="18">
        <f>80855.2+49413.68</f>
        <v>130268.88</v>
      </c>
      <c r="I198" s="18">
        <f>11628.85+419.86</f>
        <v>12048.710000000001</v>
      </c>
      <c r="J198" s="18">
        <f>16.05</f>
        <v>16.05</v>
      </c>
      <c r="K198" s="18"/>
      <c r="L198" s="19">
        <f>SUM(F198:K198)</f>
        <v>2736234.55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f>819</f>
        <v>819</v>
      </c>
      <c r="G200" s="18">
        <f>4634.03</f>
        <v>4634.03</v>
      </c>
      <c r="H200" s="18">
        <f>22350</f>
        <v>22350</v>
      </c>
      <c r="I200" s="18">
        <f>292.1</f>
        <v>292.10000000000002</v>
      </c>
      <c r="J200" s="18"/>
      <c r="K200" s="18">
        <f>825</f>
        <v>825</v>
      </c>
      <c r="L200" s="19">
        <f>SUM(F200:K200)</f>
        <v>28920.129999999997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f>355927.09+589574.32</f>
        <v>945501.40999999992</v>
      </c>
      <c r="G202" s="18">
        <f>488679.83</f>
        <v>488679.83</v>
      </c>
      <c r="H202" s="18">
        <f>729.5+30346.94</f>
        <v>31076.44</v>
      </c>
      <c r="I202" s="18">
        <f>2561.73+3485.98</f>
        <v>6047.71</v>
      </c>
      <c r="J202" s="18">
        <f>682.99+1645.43</f>
        <v>2328.42</v>
      </c>
      <c r="K202" s="18"/>
      <c r="L202" s="19">
        <f t="shared" ref="L202:L208" si="0">SUM(F202:K202)</f>
        <v>1473633.8099999998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f>121546.61</f>
        <v>121546.61</v>
      </c>
      <c r="G203" s="18">
        <f>61927.53</f>
        <v>61927.53</v>
      </c>
      <c r="H203" s="18">
        <f>5046.52+4575.05</f>
        <v>9621.57</v>
      </c>
      <c r="I203" s="18">
        <f>8532.43+918.44</f>
        <v>9450.8700000000008</v>
      </c>
      <c r="J203" s="18">
        <f>535.93</f>
        <v>535.92999999999995</v>
      </c>
      <c r="K203" s="18"/>
      <c r="L203" s="19">
        <f t="shared" si="0"/>
        <v>203082.51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f>89933.51+379545.08</f>
        <v>469478.59</v>
      </c>
      <c r="G204" s="18">
        <f>294893</f>
        <v>294893</v>
      </c>
      <c r="H204" s="18">
        <f>39962.35</f>
        <v>39962.35</v>
      </c>
      <c r="I204" s="18">
        <f>4602.02</f>
        <v>4602.0200000000004</v>
      </c>
      <c r="J204" s="18">
        <f>490.23</f>
        <v>490.23</v>
      </c>
      <c r="K204" s="18">
        <f>10192.24</f>
        <v>10192.24</v>
      </c>
      <c r="L204" s="19">
        <f t="shared" si="0"/>
        <v>819618.43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f>463678.07</f>
        <v>463678.07</v>
      </c>
      <c r="G205" s="18">
        <f>246867.57</f>
        <v>246867.57</v>
      </c>
      <c r="H205" s="18">
        <f>4377.74</f>
        <v>4377.74</v>
      </c>
      <c r="I205" s="18">
        <f>3058.55</f>
        <v>3058.55</v>
      </c>
      <c r="J205" s="18"/>
      <c r="K205" s="18">
        <f>2676</f>
        <v>2676</v>
      </c>
      <c r="L205" s="19">
        <f t="shared" si="0"/>
        <v>720657.93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f>262932.79+118264.57</f>
        <v>381197.36</v>
      </c>
      <c r="G207" s="18">
        <f>214008.07</f>
        <v>214008.07</v>
      </c>
      <c r="H207" s="18">
        <f>193461.24+165681.65</f>
        <v>359142.89</v>
      </c>
      <c r="I207" s="18">
        <f>209406.59+40860.47</f>
        <v>250267.06</v>
      </c>
      <c r="J207" s="18">
        <f>29407.99+76643.12</f>
        <v>106051.11</v>
      </c>
      <c r="K207" s="18"/>
      <c r="L207" s="19">
        <f t="shared" si="0"/>
        <v>1310666.49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/>
      <c r="G208" s="18"/>
      <c r="H208" s="18">
        <f>123968.96+409433.65</f>
        <v>533402.61</v>
      </c>
      <c r="I208" s="18"/>
      <c r="J208" s="18"/>
      <c r="K208" s="18"/>
      <c r="L208" s="19">
        <f t="shared" si="0"/>
        <v>533402.61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>
        <v>269081.52</v>
      </c>
      <c r="G209" s="18">
        <f>48025.43</f>
        <v>48025.43</v>
      </c>
      <c r="H209" s="18">
        <f>66685.47</f>
        <v>66685.47</v>
      </c>
      <c r="I209" s="18">
        <f>5291.06</f>
        <v>5291.06</v>
      </c>
      <c r="J209" s="18">
        <f>49097.69</f>
        <v>49097.69</v>
      </c>
      <c r="K209" s="18"/>
      <c r="L209" s="19">
        <f>SUM(F209:K209)</f>
        <v>438181.17000000004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7912482</v>
      </c>
      <c r="G211" s="41">
        <f t="shared" si="1"/>
        <v>4212757.1899999995</v>
      </c>
      <c r="H211" s="41">
        <f t="shared" si="1"/>
        <v>1206850.8499999999</v>
      </c>
      <c r="I211" s="41">
        <f t="shared" si="1"/>
        <v>408849.8</v>
      </c>
      <c r="J211" s="41">
        <f t="shared" si="1"/>
        <v>180125.32</v>
      </c>
      <c r="K211" s="41">
        <f t="shared" si="1"/>
        <v>13960.74</v>
      </c>
      <c r="L211" s="41">
        <f t="shared" si="1"/>
        <v>13935025.9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>
        <f>2447576.8</f>
        <v>2447576.7999999998</v>
      </c>
      <c r="G215" s="18">
        <f>1521404.52-0.01</f>
        <v>1521404.51</v>
      </c>
      <c r="H215" s="18">
        <f>1490.97</f>
        <v>1490.97</v>
      </c>
      <c r="I215" s="18">
        <f>54608.2</f>
        <v>54608.2</v>
      </c>
      <c r="J215" s="18">
        <f>58318.89+0.6</f>
        <v>58319.49</v>
      </c>
      <c r="K215" s="18">
        <f>1480</f>
        <v>1480</v>
      </c>
      <c r="L215" s="19">
        <f>SUM(F215:K215)</f>
        <v>4084879.97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>
        <f>848040.19+149754.53</f>
        <v>997794.72</v>
      </c>
      <c r="G216" s="18">
        <f>542493.44</f>
        <v>542493.43999999994</v>
      </c>
      <c r="H216" s="18">
        <f>46055.19+32025.35</f>
        <v>78080.540000000008</v>
      </c>
      <c r="I216" s="18">
        <f>4699.36+1106.9</f>
        <v>5806.26</v>
      </c>
      <c r="J216" s="18">
        <f>42.32</f>
        <v>42.32</v>
      </c>
      <c r="K216" s="18"/>
      <c r="L216" s="19">
        <f>SUM(F216:K216)</f>
        <v>1624217.28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>
        <f>46157.81+577.5</f>
        <v>46735.31</v>
      </c>
      <c r="G218" s="18">
        <f>5318.56</f>
        <v>5318.56</v>
      </c>
      <c r="H218" s="18">
        <f>14289.77</f>
        <v>14289.77</v>
      </c>
      <c r="I218" s="18">
        <f>7015.46</f>
        <v>7015.46</v>
      </c>
      <c r="J218" s="18">
        <f>486.5</f>
        <v>486.5</v>
      </c>
      <c r="K218" s="18">
        <f>3500.03</f>
        <v>3500.03</v>
      </c>
      <c r="L218" s="19">
        <f>SUM(F218:K218)</f>
        <v>77345.63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>
        <f>241684.31+128496.93</f>
        <v>370181.24</v>
      </c>
      <c r="G220" s="18">
        <f>212447.05</f>
        <v>212447.05</v>
      </c>
      <c r="H220" s="18">
        <f>362.25+31365.81</f>
        <v>31728.06</v>
      </c>
      <c r="I220" s="18">
        <f>2010.07+2582.38</f>
        <v>4592.45</v>
      </c>
      <c r="J220" s="18">
        <f>234.85+488.49</f>
        <v>723.34</v>
      </c>
      <c r="K220" s="18"/>
      <c r="L220" s="19">
        <f t="shared" ref="L220:L226" si="2">SUM(F220:K220)</f>
        <v>619672.14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>
        <f>115064.47</f>
        <v>115064.47</v>
      </c>
      <c r="G221" s="18">
        <f>46685.17</f>
        <v>46685.17</v>
      </c>
      <c r="H221" s="18">
        <f>4464+3225.99</f>
        <v>7689.99</v>
      </c>
      <c r="I221" s="18">
        <f>5852.78+647.62</f>
        <v>6500.4</v>
      </c>
      <c r="J221" s="18"/>
      <c r="K221" s="18"/>
      <c r="L221" s="19">
        <f t="shared" si="2"/>
        <v>175940.03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>
        <f>103932.33+260892.6</f>
        <v>364824.93</v>
      </c>
      <c r="G222" s="18">
        <f>203582.78</f>
        <v>203582.78</v>
      </c>
      <c r="H222" s="18">
        <f>28017.96</f>
        <v>28017.96</v>
      </c>
      <c r="I222" s="18">
        <f>3153.95</f>
        <v>3153.95</v>
      </c>
      <c r="J222" s="18">
        <f>345.68</f>
        <v>345.68</v>
      </c>
      <c r="K222" s="18">
        <f>7143.98</f>
        <v>7143.98</v>
      </c>
      <c r="L222" s="19">
        <f t="shared" si="2"/>
        <v>607069.27999999991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>
        <f>327719.18</f>
        <v>327719.18</v>
      </c>
      <c r="G223" s="18">
        <f>233425.83</f>
        <v>233425.83</v>
      </c>
      <c r="H223" s="18">
        <f>1344.1</f>
        <v>1344.1</v>
      </c>
      <c r="I223" s="18">
        <f>914.8</f>
        <v>914.8</v>
      </c>
      <c r="J223" s="18">
        <f>129.99</f>
        <v>129.99</v>
      </c>
      <c r="K223" s="18">
        <f>2536.89</f>
        <v>2536.89</v>
      </c>
      <c r="L223" s="19">
        <f t="shared" si="2"/>
        <v>566070.79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>
        <f>164265.44+68916.76</f>
        <v>233182.2</v>
      </c>
      <c r="G225" s="18">
        <f>137987.16</f>
        <v>137987.16</v>
      </c>
      <c r="H225" s="18">
        <f>103266.81+101483.43</f>
        <v>204750.24</v>
      </c>
      <c r="I225" s="18">
        <f>127291.01+23810.78</f>
        <v>151101.78999999998</v>
      </c>
      <c r="J225" s="18">
        <f>13453.31+44662.54</f>
        <v>58115.85</v>
      </c>
      <c r="K225" s="18"/>
      <c r="L225" s="19">
        <f t="shared" si="2"/>
        <v>785137.23999999987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>
        <f>79542.4+241273.4</f>
        <v>320815.8</v>
      </c>
      <c r="I226" s="18"/>
      <c r="J226" s="18"/>
      <c r="K226" s="18"/>
      <c r="L226" s="19">
        <f t="shared" si="2"/>
        <v>320815.8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>
        <f>217584.13</f>
        <v>217584.13</v>
      </c>
      <c r="G227" s="18">
        <f>51412.78</f>
        <v>51412.78</v>
      </c>
      <c r="H227" s="18">
        <f>47021.81</f>
        <v>47021.81</v>
      </c>
      <c r="I227" s="18">
        <f>3730.88</f>
        <v>3730.88</v>
      </c>
      <c r="J227" s="18">
        <f>34620.17</f>
        <v>34620.17</v>
      </c>
      <c r="K227" s="18"/>
      <c r="L227" s="19">
        <f>SUM(F227:K227)</f>
        <v>354369.77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5120662.9799999995</v>
      </c>
      <c r="G229" s="41">
        <f>SUM(G215:G228)</f>
        <v>2954757.28</v>
      </c>
      <c r="H229" s="41">
        <f>SUM(H215:H228)</f>
        <v>735229.24</v>
      </c>
      <c r="I229" s="41">
        <f>SUM(I215:I228)</f>
        <v>237424.18999999997</v>
      </c>
      <c r="J229" s="41">
        <f>SUM(J215:J228)</f>
        <v>152783.33999999997</v>
      </c>
      <c r="K229" s="41">
        <f t="shared" si="3"/>
        <v>14660.9</v>
      </c>
      <c r="L229" s="41">
        <f t="shared" si="3"/>
        <v>9215517.9299999997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>
        <f>3530110.47+0.02</f>
        <v>3530110.49</v>
      </c>
      <c r="G233" s="18">
        <f>2107512.39+0.02</f>
        <v>2107512.41</v>
      </c>
      <c r="H233" s="18">
        <f>5538.81</f>
        <v>5538.81</v>
      </c>
      <c r="I233" s="18">
        <f>76739.21</f>
        <v>76739.210000000006</v>
      </c>
      <c r="J233" s="18">
        <f>60977.91</f>
        <v>60977.91</v>
      </c>
      <c r="K233" s="18">
        <f>2791</f>
        <v>2791</v>
      </c>
      <c r="L233" s="19">
        <f>SUM(F233:K233)</f>
        <v>5783669.8300000001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>
        <f>721574.9+278731.43</f>
        <v>1000306.3300000001</v>
      </c>
      <c r="G234" s="18">
        <f>529752.56</f>
        <v>529752.56000000006</v>
      </c>
      <c r="H234" s="18">
        <f>435381.6+28613.72</f>
        <v>463995.31999999995</v>
      </c>
      <c r="I234" s="18">
        <f>3172.42+2290.13</f>
        <v>5462.55</v>
      </c>
      <c r="J234" s="18">
        <f>87.56</f>
        <v>87.56</v>
      </c>
      <c r="K234" s="18"/>
      <c r="L234" s="19">
        <f>SUM(F234:K234)</f>
        <v>1999604.32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>
        <f>761059.68</f>
        <v>761059.68</v>
      </c>
      <c r="G235" s="18">
        <f>401147.03</f>
        <v>401147.03</v>
      </c>
      <c r="H235" s="18">
        <f>21841.64</f>
        <v>21841.64</v>
      </c>
      <c r="I235" s="18">
        <f>38225.74</f>
        <v>38225.74</v>
      </c>
      <c r="J235" s="18">
        <f>22577.55</f>
        <v>22577.55</v>
      </c>
      <c r="K235" s="18">
        <f>1191.23</f>
        <v>1191.23</v>
      </c>
      <c r="L235" s="19">
        <f>SUM(F235:K235)</f>
        <v>1246042.8699999999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>
        <f>156256.5+703.5</f>
        <v>156960</v>
      </c>
      <c r="G236" s="18">
        <f>14052.92</f>
        <v>14052.92</v>
      </c>
      <c r="H236" s="18">
        <f>49705.29</f>
        <v>49705.29</v>
      </c>
      <c r="I236" s="18">
        <f>18079.48</f>
        <v>18079.48</v>
      </c>
      <c r="J236" s="18"/>
      <c r="K236" s="18">
        <f>10555</f>
        <v>10555</v>
      </c>
      <c r="L236" s="19">
        <f>SUM(F236:K236)</f>
        <v>249352.69000000003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>
        <f>568818.25+106768.91</f>
        <v>675587.16</v>
      </c>
      <c r="G238" s="18">
        <f>353452.27</f>
        <v>353452.27</v>
      </c>
      <c r="H238" s="18">
        <f>12580.91+23037.67</f>
        <v>35618.58</v>
      </c>
      <c r="I238" s="18">
        <f>8870.97+2493.61</f>
        <v>11364.58</v>
      </c>
      <c r="J238" s="18">
        <f>437.07</f>
        <v>437.07</v>
      </c>
      <c r="K238" s="18">
        <f>797.65</f>
        <v>797.65</v>
      </c>
      <c r="L238" s="19">
        <f t="shared" ref="L238:L244" si="4">SUM(F238:K238)</f>
        <v>1077257.31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>
        <f>133643.46</f>
        <v>133643.46</v>
      </c>
      <c r="G239" s="18">
        <f>54934.15</f>
        <v>54934.15</v>
      </c>
      <c r="H239" s="18">
        <f>3705.9+3929.85</f>
        <v>7635.75</v>
      </c>
      <c r="I239" s="18">
        <f>28521.32+788.91</f>
        <v>29310.23</v>
      </c>
      <c r="J239" s="18">
        <f>4823.05</f>
        <v>4823.05</v>
      </c>
      <c r="K239" s="18"/>
      <c r="L239" s="19">
        <f t="shared" si="4"/>
        <v>230346.63999999998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>
        <f>87801.73+397325.34</f>
        <v>485127.07</v>
      </c>
      <c r="G240" s="18">
        <f>315977.81</f>
        <v>315977.81</v>
      </c>
      <c r="H240" s="18">
        <f>33538.18</f>
        <v>33538.18</v>
      </c>
      <c r="I240" s="18">
        <f>3506</f>
        <v>3506</v>
      </c>
      <c r="J240" s="18">
        <f>421.1</f>
        <v>421.1</v>
      </c>
      <c r="K240" s="18">
        <f>8544.49</f>
        <v>8544.49</v>
      </c>
      <c r="L240" s="19">
        <f t="shared" si="4"/>
        <v>847114.65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>
        <f>442846.11</f>
        <v>442846.11</v>
      </c>
      <c r="G241" s="18">
        <f>258914.43</f>
        <v>258914.43</v>
      </c>
      <c r="H241" s="18">
        <f>6998.18</f>
        <v>6998.18</v>
      </c>
      <c r="I241" s="18">
        <f>8681.28</f>
        <v>8681.2800000000007</v>
      </c>
      <c r="J241" s="18">
        <f>2419.2</f>
        <v>2419.1999999999998</v>
      </c>
      <c r="K241" s="18">
        <f>19465.4</f>
        <v>19465.400000000001</v>
      </c>
      <c r="L241" s="19">
        <f t="shared" si="4"/>
        <v>739324.60000000009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>
        <f>233058.35+96426.75</f>
        <v>329485.09999999998</v>
      </c>
      <c r="G243" s="18">
        <f>187798.13</f>
        <v>187798.13</v>
      </c>
      <c r="H243" s="18">
        <f>179359.52+136847.25</f>
        <v>316206.77</v>
      </c>
      <c r="I243" s="18">
        <f>187150.84+33315.5</f>
        <v>220466.34</v>
      </c>
      <c r="J243" s="18">
        <f>40466.89+62490.8</f>
        <v>102957.69</v>
      </c>
      <c r="K243" s="18"/>
      <c r="L243" s="19">
        <f t="shared" si="4"/>
        <v>1156914.03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>
        <f>315778.04+80424.47</f>
        <v>396202.51</v>
      </c>
      <c r="I244" s="18"/>
      <c r="J244" s="18"/>
      <c r="K244" s="18"/>
      <c r="L244" s="19">
        <f t="shared" si="4"/>
        <v>396202.51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>
        <f>174452.93</f>
        <v>174452.93</v>
      </c>
      <c r="G245" s="18">
        <f>34919.38</f>
        <v>34919.379999999997</v>
      </c>
      <c r="H245" s="18">
        <f>57281.11</f>
        <v>57281.11</v>
      </c>
      <c r="I245" s="18">
        <f>4544.88</f>
        <v>4544.88</v>
      </c>
      <c r="J245" s="18">
        <f>42173.66</f>
        <v>42173.66</v>
      </c>
      <c r="K245" s="18"/>
      <c r="L245" s="19">
        <f>SUM(F245:K245)</f>
        <v>313371.95999999996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7689578.3300000001</v>
      </c>
      <c r="G247" s="41">
        <f t="shared" si="5"/>
        <v>4258461.09</v>
      </c>
      <c r="H247" s="41">
        <f t="shared" si="5"/>
        <v>1394562.1400000001</v>
      </c>
      <c r="I247" s="41">
        <f t="shared" si="5"/>
        <v>416380.29000000004</v>
      </c>
      <c r="J247" s="41">
        <f t="shared" si="5"/>
        <v>236874.79</v>
      </c>
      <c r="K247" s="41">
        <f t="shared" si="5"/>
        <v>43344.770000000004</v>
      </c>
      <c r="L247" s="41">
        <f t="shared" si="5"/>
        <v>14039201.41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20722723.310000002</v>
      </c>
      <c r="G257" s="41">
        <f t="shared" si="8"/>
        <v>11425975.559999999</v>
      </c>
      <c r="H257" s="41">
        <f t="shared" si="8"/>
        <v>3336642.23</v>
      </c>
      <c r="I257" s="41">
        <f t="shared" si="8"/>
        <v>1062654.28</v>
      </c>
      <c r="J257" s="41">
        <f t="shared" si="8"/>
        <v>569783.44999999995</v>
      </c>
      <c r="K257" s="41">
        <f t="shared" si="8"/>
        <v>71966.41</v>
      </c>
      <c r="L257" s="41">
        <f t="shared" si="8"/>
        <v>37189745.239999995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v>928878.1</v>
      </c>
      <c r="L260" s="19">
        <f>SUM(F260:K260)</f>
        <v>928878.1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v>324134.53000000003</v>
      </c>
      <c r="L261" s="19">
        <f>SUM(F261:K261)</f>
        <v>324134.53000000003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/>
      <c r="L263" s="19">
        <f>SUM(F263:K263)</f>
        <v>0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/>
      <c r="L266" s="19">
        <f t="shared" si="9"/>
        <v>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1253012.6299999999</v>
      </c>
      <c r="L270" s="41">
        <f t="shared" si="9"/>
        <v>1253012.6299999999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20722723.310000002</v>
      </c>
      <c r="G271" s="42">
        <f t="shared" si="11"/>
        <v>11425975.559999999</v>
      </c>
      <c r="H271" s="42">
        <f t="shared" si="11"/>
        <v>3336642.23</v>
      </c>
      <c r="I271" s="42">
        <f t="shared" si="11"/>
        <v>1062654.28</v>
      </c>
      <c r="J271" s="42">
        <f t="shared" si="11"/>
        <v>569783.44999999995</v>
      </c>
      <c r="K271" s="42">
        <f t="shared" si="11"/>
        <v>1324979.0399999998</v>
      </c>
      <c r="L271" s="42">
        <f t="shared" si="11"/>
        <v>38442757.869999997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f>211955.96</f>
        <v>211955.96</v>
      </c>
      <c r="G276" s="18">
        <f>18079.23+42.61</f>
        <v>18121.84</v>
      </c>
      <c r="H276" s="18"/>
      <c r="I276" s="18">
        <f>5479.46+2832.78</f>
        <v>8312.24</v>
      </c>
      <c r="J276" s="18">
        <f>150</f>
        <v>150</v>
      </c>
      <c r="K276" s="18"/>
      <c r="L276" s="19">
        <f>SUM(F276:K276)</f>
        <v>238540.03999999998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>
        <f>150220.54</f>
        <v>150220.54</v>
      </c>
      <c r="G277" s="18">
        <f>63142.21</f>
        <v>63142.21</v>
      </c>
      <c r="H277" s="18">
        <f>8400.63</f>
        <v>8400.6299999999992</v>
      </c>
      <c r="I277" s="18">
        <f>7003.69</f>
        <v>7003.69</v>
      </c>
      <c r="J277" s="18"/>
      <c r="K277" s="18"/>
      <c r="L277" s="19">
        <f>SUM(F277:K277)</f>
        <v>228767.07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>
        <f>14804+1721.78</f>
        <v>16525.78</v>
      </c>
      <c r="G279" s="18">
        <f>2371.79+155.11</f>
        <v>2526.9</v>
      </c>
      <c r="H279" s="18"/>
      <c r="I279" s="18">
        <v>2822.96</v>
      </c>
      <c r="J279" s="18"/>
      <c r="K279" s="18"/>
      <c r="L279" s="19">
        <f>SUM(F279:K279)</f>
        <v>21875.64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>
        <f>2240+9802.01</f>
        <v>12042.01</v>
      </c>
      <c r="G281" s="18">
        <f>3647.51</f>
        <v>3647.51</v>
      </c>
      <c r="H281" s="18">
        <f>5021.6+4192.78</f>
        <v>9214.380000000001</v>
      </c>
      <c r="I281" s="18">
        <f>5046.85+233.88</f>
        <v>5280.7300000000005</v>
      </c>
      <c r="J281" s="18">
        <f>344.43</f>
        <v>344.43</v>
      </c>
      <c r="K281" s="18"/>
      <c r="L281" s="19">
        <f t="shared" ref="L281:L287" si="12">SUM(F281:K281)</f>
        <v>30529.06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>
        <f>9517.56</f>
        <v>9517.56</v>
      </c>
      <c r="G282" s="18">
        <f>2200.44</f>
        <v>2200.44</v>
      </c>
      <c r="H282" s="18">
        <f>3079.02+6535.62</f>
        <v>9614.64</v>
      </c>
      <c r="I282" s="18">
        <f>126.36</f>
        <v>126.36</v>
      </c>
      <c r="J282" s="18"/>
      <c r="K282" s="18"/>
      <c r="L282" s="19">
        <f t="shared" si="12"/>
        <v>21459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>
        <v>76291.78</v>
      </c>
      <c r="G283" s="18">
        <f>16562.65</f>
        <v>16562.650000000001</v>
      </c>
      <c r="H283" s="18">
        <v>596.54999999999995</v>
      </c>
      <c r="I283" s="18"/>
      <c r="J283" s="18"/>
      <c r="K283" s="18"/>
      <c r="L283" s="19">
        <f t="shared" si="12"/>
        <v>93450.98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>
        <v>1390</v>
      </c>
      <c r="J287" s="18">
        <f>886.89-717.27</f>
        <v>169.62</v>
      </c>
      <c r="K287" s="18"/>
      <c r="L287" s="19">
        <f t="shared" si="12"/>
        <v>1559.62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476553.63</v>
      </c>
      <c r="G290" s="42">
        <f t="shared" si="13"/>
        <v>106201.54999999999</v>
      </c>
      <c r="H290" s="42">
        <f t="shared" si="13"/>
        <v>27826.2</v>
      </c>
      <c r="I290" s="42">
        <f t="shared" si="13"/>
        <v>24935.98</v>
      </c>
      <c r="J290" s="42">
        <f t="shared" si="13"/>
        <v>664.05</v>
      </c>
      <c r="K290" s="42">
        <f t="shared" si="13"/>
        <v>0</v>
      </c>
      <c r="L290" s="41">
        <f t="shared" si="13"/>
        <v>636181.41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>
        <f>30.59</f>
        <v>30.59</v>
      </c>
      <c r="H295" s="18"/>
      <c r="I295" s="18"/>
      <c r="J295" s="18"/>
      <c r="K295" s="18"/>
      <c r="L295" s="19">
        <f>SUM(F295:K295)</f>
        <v>30.59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>
        <f>107850.64</f>
        <v>107850.64</v>
      </c>
      <c r="G296" s="18">
        <f>45332.87</f>
        <v>45332.87</v>
      </c>
      <c r="H296" s="18">
        <f>6031.22</f>
        <v>6031.22</v>
      </c>
      <c r="I296" s="18">
        <f>5028.29</f>
        <v>5028.29</v>
      </c>
      <c r="J296" s="18"/>
      <c r="K296" s="18"/>
      <c r="L296" s="19">
        <f>SUM(F296:K296)</f>
        <v>164243.02000000002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>
        <f>175+385.14</f>
        <v>560.14</v>
      </c>
      <c r="G298" s="18">
        <f>111.36</f>
        <v>111.36</v>
      </c>
      <c r="H298" s="18"/>
      <c r="I298" s="18">
        <v>684.78</v>
      </c>
      <c r="J298" s="18"/>
      <c r="K298" s="18"/>
      <c r="L298" s="19">
        <f>SUM(F298:K298)</f>
        <v>1356.28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>
        <f>6489.19</f>
        <v>6489.19</v>
      </c>
      <c r="G300" s="18">
        <f>2442.01</f>
        <v>2442.0100000000002</v>
      </c>
      <c r="H300" s="18">
        <f>2705.74</f>
        <v>2705.74</v>
      </c>
      <c r="I300" s="18">
        <f>167.91</f>
        <v>167.91</v>
      </c>
      <c r="J300" s="18">
        <f>247.28</f>
        <v>247.28</v>
      </c>
      <c r="K300" s="18"/>
      <c r="L300" s="19">
        <f t="shared" ref="L300:L306" si="14">SUM(F300:K300)</f>
        <v>12052.130000000001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>
        <f>6833.12</f>
        <v>6833.12</v>
      </c>
      <c r="G301" s="18">
        <f>1579.8</f>
        <v>1579.8</v>
      </c>
      <c r="H301" s="18">
        <f>4692.24</f>
        <v>4692.24</v>
      </c>
      <c r="I301" s="18">
        <f>90.72</f>
        <v>90.72</v>
      </c>
      <c r="J301" s="18"/>
      <c r="K301" s="18"/>
      <c r="L301" s="19">
        <f t="shared" si="14"/>
        <v>13195.88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121733.09</v>
      </c>
      <c r="G309" s="42">
        <f t="shared" si="15"/>
        <v>49496.630000000005</v>
      </c>
      <c r="H309" s="42">
        <f t="shared" si="15"/>
        <v>13429.199999999999</v>
      </c>
      <c r="I309" s="42">
        <f t="shared" si="15"/>
        <v>5971.7</v>
      </c>
      <c r="J309" s="42">
        <f t="shared" si="15"/>
        <v>247.28</v>
      </c>
      <c r="K309" s="42">
        <f t="shared" si="15"/>
        <v>0</v>
      </c>
      <c r="L309" s="41">
        <f t="shared" si="15"/>
        <v>190877.90000000002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>
        <f>65515.36-0.01</f>
        <v>65515.35</v>
      </c>
      <c r="G314" s="18">
        <f>36.06+14315.48</f>
        <v>14351.539999999999</v>
      </c>
      <c r="H314" s="18"/>
      <c r="I314" s="18">
        <f>1760.33</f>
        <v>1760.33</v>
      </c>
      <c r="J314" s="18"/>
      <c r="K314" s="18"/>
      <c r="L314" s="19">
        <f>SUM(F314:K314)</f>
        <v>81627.22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>
        <f>127109.68</f>
        <v>127109.68</v>
      </c>
      <c r="G315" s="18">
        <f>53428.02</f>
        <v>53428.02</v>
      </c>
      <c r="H315" s="18">
        <f>7108.23</f>
        <v>7108.23</v>
      </c>
      <c r="I315" s="18">
        <f>5926.2</f>
        <v>5926.2</v>
      </c>
      <c r="J315" s="18"/>
      <c r="K315" s="18"/>
      <c r="L315" s="19">
        <f>SUM(F315:K315)</f>
        <v>193572.13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>
        <f>9120.18</f>
        <v>9120.18</v>
      </c>
      <c r="I316" s="18">
        <f>1934.54</f>
        <v>1934.54</v>
      </c>
      <c r="J316" s="18"/>
      <c r="K316" s="18"/>
      <c r="L316" s="19">
        <f>SUM(F316:K316)</f>
        <v>11054.720000000001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>
        <f>158.59</f>
        <v>158.59</v>
      </c>
      <c r="G317" s="18">
        <f>131.25</f>
        <v>131.25</v>
      </c>
      <c r="H317" s="18"/>
      <c r="I317" s="18"/>
      <c r="J317" s="18">
        <v>88491.9</v>
      </c>
      <c r="K317" s="18">
        <v>3143.5</v>
      </c>
      <c r="L317" s="19">
        <f>SUM(F317:K317)</f>
        <v>91925.239999999991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>
        <f>7473.95</f>
        <v>7473.95</v>
      </c>
      <c r="G319" s="18">
        <f>2878.09</f>
        <v>2878.09</v>
      </c>
      <c r="H319" s="18">
        <f>2500+3188.91</f>
        <v>5688.91</v>
      </c>
      <c r="I319" s="18">
        <f>197.89</f>
        <v>197.89</v>
      </c>
      <c r="J319" s="18">
        <v>291.44</v>
      </c>
      <c r="K319" s="18"/>
      <c r="L319" s="19">
        <f t="shared" ref="L319:L325" si="16">SUM(F319:K319)</f>
        <v>16530.28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>
        <f>8053.32</f>
        <v>8053.32</v>
      </c>
      <c r="G320" s="18">
        <f>1861.91</f>
        <v>1861.91</v>
      </c>
      <c r="H320" s="18">
        <f>5530.14+755</f>
        <v>6285.14</v>
      </c>
      <c r="I320" s="18">
        <f>106.92</f>
        <v>106.92</v>
      </c>
      <c r="J320" s="18"/>
      <c r="K320" s="18"/>
      <c r="L320" s="19">
        <f t="shared" si="16"/>
        <v>16307.289999999999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>
        <f>8809.57</f>
        <v>8809.57</v>
      </c>
      <c r="I325" s="18">
        <f>3577.25</f>
        <v>3577.25</v>
      </c>
      <c r="J325" s="18">
        <f>13875</f>
        <v>13875</v>
      </c>
      <c r="K325" s="18"/>
      <c r="L325" s="19">
        <f t="shared" si="16"/>
        <v>26261.82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208310.89</v>
      </c>
      <c r="G328" s="42">
        <f t="shared" si="17"/>
        <v>72650.81</v>
      </c>
      <c r="H328" s="42">
        <f t="shared" si="17"/>
        <v>37012.03</v>
      </c>
      <c r="I328" s="42">
        <f t="shared" si="17"/>
        <v>13503.13</v>
      </c>
      <c r="J328" s="42">
        <f t="shared" si="17"/>
        <v>102658.34</v>
      </c>
      <c r="K328" s="42">
        <f t="shared" si="17"/>
        <v>3143.5</v>
      </c>
      <c r="L328" s="41">
        <f t="shared" si="17"/>
        <v>437278.69999999995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806597.61</v>
      </c>
      <c r="G338" s="41">
        <f t="shared" si="20"/>
        <v>228348.99</v>
      </c>
      <c r="H338" s="41">
        <f t="shared" si="20"/>
        <v>78267.429999999993</v>
      </c>
      <c r="I338" s="41">
        <f t="shared" si="20"/>
        <v>44410.81</v>
      </c>
      <c r="J338" s="41">
        <f t="shared" si="20"/>
        <v>103569.67</v>
      </c>
      <c r="K338" s="41">
        <f t="shared" si="20"/>
        <v>3143.5</v>
      </c>
      <c r="L338" s="41">
        <f t="shared" si="20"/>
        <v>1264338.01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806597.61</v>
      </c>
      <c r="G352" s="41">
        <f>G338</f>
        <v>228348.99</v>
      </c>
      <c r="H352" s="41">
        <f>H338</f>
        <v>78267.429999999993</v>
      </c>
      <c r="I352" s="41">
        <f>I338</f>
        <v>44410.81</v>
      </c>
      <c r="J352" s="41">
        <f>J338</f>
        <v>103569.67</v>
      </c>
      <c r="K352" s="47">
        <f>K338+K351</f>
        <v>3143.5</v>
      </c>
      <c r="L352" s="41">
        <f>L338+L351</f>
        <v>1264338.01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v>94913.74</v>
      </c>
      <c r="G358" s="18">
        <v>8714.9599999999991</v>
      </c>
      <c r="H358" s="18">
        <v>573.54</v>
      </c>
      <c r="I358" s="18">
        <v>57541.81</v>
      </c>
      <c r="J358" s="18">
        <v>488.5</v>
      </c>
      <c r="K358" s="18">
        <v>2277.4899999999998</v>
      </c>
      <c r="L358" s="13">
        <f>SUM(F358:K358)</f>
        <v>164510.03999999998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>
        <v>69767.87</v>
      </c>
      <c r="G359" s="18">
        <v>37764.82</v>
      </c>
      <c r="H359" s="18">
        <v>926.85</v>
      </c>
      <c r="I359" s="18">
        <v>55708.85</v>
      </c>
      <c r="J359" s="18">
        <v>9556.0499999999993</v>
      </c>
      <c r="K359" s="18">
        <v>2121.0500000000002</v>
      </c>
      <c r="L359" s="19">
        <f>SUM(F359:K359)</f>
        <v>175845.49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>
        <v>108298.3</v>
      </c>
      <c r="G360" s="18">
        <v>11619.94</v>
      </c>
      <c r="H360" s="18">
        <v>1748.56</v>
      </c>
      <c r="I360" s="18">
        <v>111086.88</v>
      </c>
      <c r="J360" s="18">
        <v>200</v>
      </c>
      <c r="K360" s="18">
        <v>2202.63</v>
      </c>
      <c r="L360" s="19">
        <f>SUM(F360:K360)</f>
        <v>235156.31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272979.90999999997</v>
      </c>
      <c r="G362" s="47">
        <f t="shared" si="22"/>
        <v>58099.72</v>
      </c>
      <c r="H362" s="47">
        <f t="shared" si="22"/>
        <v>3248.95</v>
      </c>
      <c r="I362" s="47">
        <f t="shared" si="22"/>
        <v>224337.54</v>
      </c>
      <c r="J362" s="47">
        <f t="shared" si="22"/>
        <v>10244.549999999999</v>
      </c>
      <c r="K362" s="47">
        <f t="shared" si="22"/>
        <v>6601.17</v>
      </c>
      <c r="L362" s="47">
        <f t="shared" si="22"/>
        <v>575511.84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v>50909.7</v>
      </c>
      <c r="G367" s="18">
        <v>48071.57</v>
      </c>
      <c r="H367" s="18">
        <v>93577.4</v>
      </c>
      <c r="I367" s="56">
        <f>SUM(F367:H367)</f>
        <v>192558.66999999998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v>6632.11</v>
      </c>
      <c r="G368" s="63">
        <v>7637.28</v>
      </c>
      <c r="H368" s="63">
        <v>17509.48</v>
      </c>
      <c r="I368" s="56">
        <f>SUM(F368:H368)</f>
        <v>31778.87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57541.81</v>
      </c>
      <c r="G369" s="47">
        <f>SUM(G367:G368)</f>
        <v>55708.85</v>
      </c>
      <c r="H369" s="47">
        <f>SUM(H367:H368)</f>
        <v>111086.87999999999</v>
      </c>
      <c r="I369" s="47">
        <f>SUM(I367:I368)</f>
        <v>224337.53999999998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>
        <v>64377.75</v>
      </c>
      <c r="I376" s="18"/>
      <c r="J376" s="18"/>
      <c r="K376" s="18"/>
      <c r="L376" s="13">
        <f t="shared" si="23"/>
        <v>64377.75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>
        <v>459524.52</v>
      </c>
      <c r="I379" s="18"/>
      <c r="J379" s="18"/>
      <c r="K379" s="18"/>
      <c r="L379" s="13">
        <f t="shared" si="23"/>
        <v>459524.52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523902.27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523902.27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0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/>
      <c r="I396" s="18"/>
      <c r="J396" s="24" t="s">
        <v>286</v>
      </c>
      <c r="K396" s="24" t="s">
        <v>286</v>
      </c>
      <c r="L396" s="56">
        <f t="shared" si="26"/>
        <v>0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/>
      <c r="I397" s="18"/>
      <c r="J397" s="24" t="s">
        <v>286</v>
      </c>
      <c r="K397" s="24" t="s">
        <v>286</v>
      </c>
      <c r="L397" s="56">
        <f t="shared" si="26"/>
        <v>0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>
        <f>15192.98+14074.85</f>
        <v>29267.83</v>
      </c>
      <c r="I400" s="18">
        <v>23650.32</v>
      </c>
      <c r="J400" s="24" t="s">
        <v>286</v>
      </c>
      <c r="K400" s="24" t="s">
        <v>286</v>
      </c>
      <c r="L400" s="56">
        <f t="shared" si="26"/>
        <v>52918.15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29267.83</v>
      </c>
      <c r="I401" s="47">
        <f>SUM(I395:I400)</f>
        <v>23650.32</v>
      </c>
      <c r="J401" s="45" t="s">
        <v>286</v>
      </c>
      <c r="K401" s="45" t="s">
        <v>286</v>
      </c>
      <c r="L401" s="47">
        <f>SUM(L395:L400)</f>
        <v>52918.15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>
        <f>485.53+561.55+6670.55+27.65+37230.39+7184.78+448.31+518.48+6159.06+25.54+39889.47+70.98</f>
        <v>99272.29</v>
      </c>
      <c r="I403" s="18">
        <f>158.52+183.34+2177.89+9.03+12777.51</f>
        <v>15306.29</v>
      </c>
      <c r="J403" s="24" t="s">
        <v>286</v>
      </c>
      <c r="K403" s="24" t="s">
        <v>286</v>
      </c>
      <c r="L403" s="56">
        <f>SUM(F403:K403)</f>
        <v>114578.57999999999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99272.29</v>
      </c>
      <c r="I407" s="47">
        <f>SUM(I403:I406)</f>
        <v>15306.29</v>
      </c>
      <c r="J407" s="49" t="s">
        <v>286</v>
      </c>
      <c r="K407" s="49" t="s">
        <v>286</v>
      </c>
      <c r="L407" s="47">
        <f>SUM(L403:L406)</f>
        <v>114578.57999999999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128540.12</v>
      </c>
      <c r="I408" s="47">
        <f>I393+I401+I407</f>
        <v>38956.61</v>
      </c>
      <c r="J408" s="24" t="s">
        <v>286</v>
      </c>
      <c r="K408" s="24" t="s">
        <v>286</v>
      </c>
      <c r="L408" s="47">
        <f>L393+L401+L407</f>
        <v>167496.72999999998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>
        <v>11730</v>
      </c>
      <c r="J426" s="18"/>
      <c r="K426" s="18"/>
      <c r="L426" s="56">
        <f t="shared" si="29"/>
        <v>11730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11730</v>
      </c>
      <c r="J427" s="47">
        <f t="shared" si="30"/>
        <v>0</v>
      </c>
      <c r="K427" s="47">
        <f t="shared" si="30"/>
        <v>0</v>
      </c>
      <c r="L427" s="47">
        <f t="shared" si="30"/>
        <v>11730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>
        <v>6597.95</v>
      </c>
      <c r="J429" s="18">
        <v>5000</v>
      </c>
      <c r="K429" s="18">
        <v>35000</v>
      </c>
      <c r="L429" s="56">
        <f>SUM(F429:K429)</f>
        <v>46597.95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6597.95</v>
      </c>
      <c r="J433" s="47">
        <f t="shared" si="31"/>
        <v>5000</v>
      </c>
      <c r="K433" s="47">
        <f t="shared" si="31"/>
        <v>35000</v>
      </c>
      <c r="L433" s="47">
        <f t="shared" si="31"/>
        <v>46597.95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18327.95</v>
      </c>
      <c r="J434" s="47">
        <f t="shared" si="32"/>
        <v>5000</v>
      </c>
      <c r="K434" s="47">
        <f t="shared" si="32"/>
        <v>35000</v>
      </c>
      <c r="L434" s="47">
        <f t="shared" si="32"/>
        <v>58327.95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>
        <v>145041.79999999999</v>
      </c>
      <c r="H442" s="18">
        <v>4285934.0599999996</v>
      </c>
      <c r="I442" s="56">
        <f t="shared" si="33"/>
        <v>4430975.8599999994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0</v>
      </c>
      <c r="G446" s="13">
        <f>SUM(G439:G445)</f>
        <v>145041.79999999999</v>
      </c>
      <c r="H446" s="13">
        <f>SUM(H439:H445)</f>
        <v>4285934.0599999996</v>
      </c>
      <c r="I446" s="13">
        <f>SUM(I439:I445)</f>
        <v>4430975.8599999994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>
        <v>140719.85</v>
      </c>
      <c r="H456" s="18">
        <v>4161715.89</v>
      </c>
      <c r="I456" s="56">
        <f t="shared" si="34"/>
        <v>4302435.74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>
        <v>2088.9699999999998</v>
      </c>
      <c r="H457" s="18">
        <v>59097.72</v>
      </c>
      <c r="I457" s="56">
        <f t="shared" si="34"/>
        <v>61186.69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>
        <v>2232.98</v>
      </c>
      <c r="H458" s="18">
        <v>65120.45</v>
      </c>
      <c r="I458" s="56">
        <f t="shared" si="34"/>
        <v>67353.429999999993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/>
      <c r="G459" s="18"/>
      <c r="H459" s="18"/>
      <c r="I459" s="56">
        <f t="shared" si="34"/>
        <v>0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0</v>
      </c>
      <c r="G460" s="83">
        <f>SUM(G454:G459)</f>
        <v>145041.80000000002</v>
      </c>
      <c r="H460" s="83">
        <f>SUM(H454:H459)</f>
        <v>4285934.0600000005</v>
      </c>
      <c r="I460" s="83">
        <f>SUM(I454:I459)</f>
        <v>4430975.8600000003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0</v>
      </c>
      <c r="G461" s="42">
        <f>G452+G460</f>
        <v>145041.80000000002</v>
      </c>
      <c r="H461" s="42">
        <f>H452+H460</f>
        <v>4285934.0600000005</v>
      </c>
      <c r="I461" s="42">
        <f>I452+I460</f>
        <v>4430975.8600000003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672179.29</v>
      </c>
      <c r="G465" s="18">
        <v>26072.42</v>
      </c>
      <c r="H465" s="18">
        <f>58382.08+11685.94-64.12</f>
        <v>70003.900000000009</v>
      </c>
      <c r="I465" s="18">
        <v>0</v>
      </c>
      <c r="J465" s="18">
        <v>4157554.11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38770598.82</v>
      </c>
      <c r="G468" s="18">
        <v>592294.77</v>
      </c>
      <c r="H468" s="18">
        <f>1155057.59+106031</f>
        <v>1261088.5900000001</v>
      </c>
      <c r="I468" s="18">
        <v>3012467.34</v>
      </c>
      <c r="J468" s="18">
        <v>167496.73000000001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>
        <v>64.12</v>
      </c>
      <c r="I469" s="18"/>
      <c r="J469" s="18">
        <v>164252.97</v>
      </c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38770598.82</v>
      </c>
      <c r="G470" s="53">
        <f>SUM(G468:G469)</f>
        <v>592294.77</v>
      </c>
      <c r="H470" s="53">
        <f>SUM(H468:H469)</f>
        <v>1261152.7100000002</v>
      </c>
      <c r="I470" s="53">
        <f>SUM(I468:I469)</f>
        <v>3012467.34</v>
      </c>
      <c r="J470" s="53">
        <f>SUM(J468:J469)</f>
        <v>331749.7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38442757.869999997</v>
      </c>
      <c r="G472" s="18">
        <v>575511.84</v>
      </c>
      <c r="H472" s="18">
        <f>1155730.02+108607.99</f>
        <v>1264338.01</v>
      </c>
      <c r="I472" s="18">
        <v>523902.27</v>
      </c>
      <c r="J472" s="18">
        <v>58327.95</v>
      </c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38442757.869999997</v>
      </c>
      <c r="G474" s="53">
        <f>SUM(G472:G473)</f>
        <v>575511.84</v>
      </c>
      <c r="H474" s="53">
        <f>SUM(H472:H473)</f>
        <v>1264338.01</v>
      </c>
      <c r="I474" s="53">
        <f>SUM(I472:I473)</f>
        <v>523902.27</v>
      </c>
      <c r="J474" s="53">
        <f>SUM(J472:J473)</f>
        <v>58327.95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1000020.2400000021</v>
      </c>
      <c r="G476" s="53">
        <f>(G465+G470)- G474</f>
        <v>42855.350000000093</v>
      </c>
      <c r="H476" s="53">
        <f>(H465+H470)- H474</f>
        <v>66818.600000000093</v>
      </c>
      <c r="I476" s="53">
        <f>(I465+I470)- I474</f>
        <v>2488565.0699999998</v>
      </c>
      <c r="J476" s="53">
        <f>(J465+J470)- J474</f>
        <v>4430975.8599999994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 t="s">
        <v>923</v>
      </c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 t="s">
        <v>924</v>
      </c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>
        <v>20</v>
      </c>
      <c r="G490" s="154">
        <v>10</v>
      </c>
      <c r="H490" s="154">
        <v>20</v>
      </c>
      <c r="I490" s="154">
        <v>10</v>
      </c>
      <c r="J490" s="154">
        <v>5</v>
      </c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 t="s">
        <v>913</v>
      </c>
      <c r="G491" s="155" t="s">
        <v>915</v>
      </c>
      <c r="H491" s="154" t="s">
        <v>917</v>
      </c>
      <c r="I491" s="154" t="s">
        <v>920</v>
      </c>
      <c r="J491" s="154" t="s">
        <v>921</v>
      </c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 t="s">
        <v>914</v>
      </c>
      <c r="G492" s="155" t="s">
        <v>916</v>
      </c>
      <c r="H492" s="154" t="s">
        <v>918</v>
      </c>
      <c r="I492" s="154" t="s">
        <v>919</v>
      </c>
      <c r="J492" s="154" t="s">
        <v>922</v>
      </c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>
        <v>10895000</v>
      </c>
      <c r="G493" s="18">
        <v>1404300</v>
      </c>
      <c r="H493" s="18">
        <v>4393500</v>
      </c>
      <c r="I493" s="18">
        <v>2553500</v>
      </c>
      <c r="J493" s="18">
        <v>123530</v>
      </c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>
        <v>5.58</v>
      </c>
      <c r="G494" s="18">
        <v>5.0999999999999996</v>
      </c>
      <c r="H494" s="18">
        <v>4.43</v>
      </c>
      <c r="I494" s="18">
        <v>5.0999999999999996</v>
      </c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>
        <v>1630000</v>
      </c>
      <c r="G495" s="18">
        <v>980000</v>
      </c>
      <c r="H495" s="18">
        <v>2415000</v>
      </c>
      <c r="I495" s="18">
        <v>2553500</v>
      </c>
      <c r="J495" s="18">
        <v>75749.98</v>
      </c>
      <c r="K495" s="53">
        <f>SUM(F495:J495)</f>
        <v>7654249.9800000004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>
        <v>545000</v>
      </c>
      <c r="G497" s="18">
        <v>140000</v>
      </c>
      <c r="H497" s="18">
        <v>220000</v>
      </c>
      <c r="I497" s="18"/>
      <c r="J497" s="18">
        <f>11377.5+12500.6</f>
        <v>23878.1</v>
      </c>
      <c r="K497" s="53">
        <f t="shared" si="35"/>
        <v>928878.1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>
        <v>1085000</v>
      </c>
      <c r="G498" s="204">
        <v>840000</v>
      </c>
      <c r="H498" s="204">
        <v>2195000</v>
      </c>
      <c r="I498" s="204">
        <v>2553500</v>
      </c>
      <c r="J498" s="204">
        <v>51871.88</v>
      </c>
      <c r="K498" s="205">
        <f t="shared" si="35"/>
        <v>6725371.8799999999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>
        <v>93437.5</v>
      </c>
      <c r="G499" s="18">
        <v>134470</v>
      </c>
      <c r="H499" s="18">
        <v>514812.96</v>
      </c>
      <c r="I499" s="18">
        <v>650339.25</v>
      </c>
      <c r="J499" s="18">
        <v>3153.07</v>
      </c>
      <c r="K499" s="53">
        <f t="shared" si="35"/>
        <v>1396212.78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1178437.5</v>
      </c>
      <c r="G500" s="42">
        <f>SUM(G498:G499)</f>
        <v>974470</v>
      </c>
      <c r="H500" s="42">
        <f>SUM(H498:H499)</f>
        <v>2709812.96</v>
      </c>
      <c r="I500" s="42">
        <f>SUM(I498:I499)</f>
        <v>3203839.25</v>
      </c>
      <c r="J500" s="42">
        <f>SUM(J498:J499)</f>
        <v>55024.95</v>
      </c>
      <c r="K500" s="42">
        <f t="shared" si="35"/>
        <v>8121584.6600000001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>
        <v>545000</v>
      </c>
      <c r="G501" s="204">
        <v>140000</v>
      </c>
      <c r="H501" s="204">
        <v>220000</v>
      </c>
      <c r="I501" s="204">
        <v>258500</v>
      </c>
      <c r="J501" s="204">
        <f>11808.71+12918.12</f>
        <v>24726.83</v>
      </c>
      <c r="K501" s="205">
        <f t="shared" si="35"/>
        <v>1188226.83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>
        <v>62387.5</v>
      </c>
      <c r="G502" s="18">
        <v>41020</v>
      </c>
      <c r="H502" s="18">
        <v>93556.26</v>
      </c>
      <c r="I502" s="18">
        <v>123636.75</v>
      </c>
      <c r="J502" s="18">
        <f>447.55+1338.11</f>
        <v>1785.6599999999999</v>
      </c>
      <c r="K502" s="53">
        <f t="shared" si="35"/>
        <v>322386.17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607387.5</v>
      </c>
      <c r="G503" s="42">
        <f>SUM(G501:G502)</f>
        <v>181020</v>
      </c>
      <c r="H503" s="42">
        <f>SUM(H501:H502)</f>
        <v>313556.26</v>
      </c>
      <c r="I503" s="42">
        <f>SUM(I501:I502)</f>
        <v>382136.75</v>
      </c>
      <c r="J503" s="42">
        <f>SUM(J501:J502)</f>
        <v>26512.49</v>
      </c>
      <c r="K503" s="42">
        <f t="shared" si="35"/>
        <v>1510613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>
        <v>1757017.85</v>
      </c>
      <c r="G507" s="144">
        <v>204379</v>
      </c>
      <c r="H507" s="144"/>
      <c r="I507" s="144">
        <v>1961396.85</v>
      </c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f>1642890.89+293948.13</f>
        <v>1936839.02</v>
      </c>
      <c r="G521" s="18">
        <f>933054.31</f>
        <v>933054.31</v>
      </c>
      <c r="H521" s="18">
        <f>80855.2+59085.18</f>
        <v>139940.38</v>
      </c>
      <c r="I521" s="18">
        <f>11628.85+8483.08</f>
        <v>20111.93</v>
      </c>
      <c r="J521" s="18">
        <f>16.05</f>
        <v>16.05</v>
      </c>
      <c r="K521" s="18"/>
      <c r="L521" s="88">
        <f>SUM(F521:K521)</f>
        <v>3029961.69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>
        <f>848040.19+263301.59</f>
        <v>1111341.78</v>
      </c>
      <c r="G522" s="18">
        <f>544479.73</f>
        <v>544479.73</v>
      </c>
      <c r="H522" s="18">
        <f>46055.19+38293.51</f>
        <v>84348.700000000012</v>
      </c>
      <c r="I522" s="18">
        <f>4699.36+6332.73</f>
        <v>11032.09</v>
      </c>
      <c r="J522" s="18">
        <f>42.32</f>
        <v>42.32</v>
      </c>
      <c r="K522" s="18"/>
      <c r="L522" s="88">
        <f>SUM(F522:K522)</f>
        <v>1751244.62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>
        <f>721574.9+372037.37</f>
        <v>1093612.27</v>
      </c>
      <c r="G523" s="18">
        <f>435393.65</f>
        <v>435393.65</v>
      </c>
      <c r="H523" s="18">
        <f>435381.6+34214.14</f>
        <v>469595.74</v>
      </c>
      <c r="I523" s="18">
        <f>3172.42+6959.26</f>
        <v>10131.68</v>
      </c>
      <c r="J523" s="18">
        <f>87.56</f>
        <v>87.56</v>
      </c>
      <c r="K523" s="18"/>
      <c r="L523" s="88">
        <f>SUM(F523:K523)</f>
        <v>2008820.9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4141793.07</v>
      </c>
      <c r="G524" s="108">
        <f t="shared" ref="G524:L524" si="36">SUM(G521:G523)</f>
        <v>1912927.69</v>
      </c>
      <c r="H524" s="108">
        <f t="shared" si="36"/>
        <v>693884.82000000007</v>
      </c>
      <c r="I524" s="108">
        <f t="shared" si="36"/>
        <v>41275.699999999997</v>
      </c>
      <c r="J524" s="108">
        <f t="shared" si="36"/>
        <v>145.93</v>
      </c>
      <c r="K524" s="108">
        <f t="shared" si="36"/>
        <v>0</v>
      </c>
      <c r="L524" s="89">
        <f t="shared" si="36"/>
        <v>6790027.2100000009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f>355927.09+599469.34</f>
        <v>955396.42999999993</v>
      </c>
      <c r="G526" s="18">
        <f>105758.83</f>
        <v>105758.83</v>
      </c>
      <c r="H526" s="18">
        <f>729.5+34739.31</f>
        <v>35468.81</v>
      </c>
      <c r="I526" s="18">
        <f>2561.73+4445.26</f>
        <v>7006.99</v>
      </c>
      <c r="J526" s="18">
        <f>682.99+1645.43</f>
        <v>2328.42</v>
      </c>
      <c r="K526" s="18"/>
      <c r="L526" s="88">
        <f>SUM(F526:K526)</f>
        <v>1105959.48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>
        <f>241684.31+134909.95</f>
        <v>376594.26</v>
      </c>
      <c r="G527" s="18">
        <f>108135.43</f>
        <v>108135.43</v>
      </c>
      <c r="H527" s="18">
        <f>362.25+29405.2</f>
        <v>29767.45</v>
      </c>
      <c r="I527" s="18">
        <f>2010.07+2190.35</f>
        <v>4200.42</v>
      </c>
      <c r="J527" s="18">
        <f>234.85+488.49</f>
        <v>723.34</v>
      </c>
      <c r="K527" s="18"/>
      <c r="L527" s="88">
        <f>SUM(F527:K527)</f>
        <v>519420.9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>
        <f>568818.25+112498.76</f>
        <v>681317.01</v>
      </c>
      <c r="G528" s="18">
        <f>206051.47</f>
        <v>206051.47</v>
      </c>
      <c r="H528" s="18">
        <f>12580.91+20605.9</f>
        <v>33186.81</v>
      </c>
      <c r="I528" s="18">
        <f>8870.97+1926.36</f>
        <v>10797.33</v>
      </c>
      <c r="J528" s="18">
        <f>437.07</f>
        <v>437.07</v>
      </c>
      <c r="K528" s="18">
        <f>797.65</f>
        <v>797.65</v>
      </c>
      <c r="L528" s="88">
        <f>SUM(F528:K528)</f>
        <v>932587.34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2013307.7</v>
      </c>
      <c r="G529" s="89">
        <f t="shared" ref="G529:L529" si="37">SUM(G526:G528)</f>
        <v>419945.73</v>
      </c>
      <c r="H529" s="89">
        <f t="shared" si="37"/>
        <v>98423.069999999992</v>
      </c>
      <c r="I529" s="89">
        <f t="shared" si="37"/>
        <v>22004.739999999998</v>
      </c>
      <c r="J529" s="89">
        <f t="shared" si="37"/>
        <v>3488.8300000000004</v>
      </c>
      <c r="K529" s="89">
        <f t="shared" si="37"/>
        <v>797.65</v>
      </c>
      <c r="L529" s="89">
        <f t="shared" si="37"/>
        <v>2557967.7199999997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f>118119.75</f>
        <v>118119.75</v>
      </c>
      <c r="G531" s="18">
        <f>14972.6</f>
        <v>14972.6</v>
      </c>
      <c r="H531" s="18">
        <f>2702.62</f>
        <v>2702.62</v>
      </c>
      <c r="I531" s="18">
        <f>1597</f>
        <v>1597</v>
      </c>
      <c r="J531" s="18"/>
      <c r="K531" s="18">
        <f>751.63</f>
        <v>751.63</v>
      </c>
      <c r="L531" s="88">
        <f>SUM(F531:K531)</f>
        <v>138143.6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>
        <f>76554.22</f>
        <v>76554.22</v>
      </c>
      <c r="G532" s="18">
        <f>15447.92</f>
        <v>15447.92</v>
      </c>
      <c r="H532" s="18">
        <f>1751.59</f>
        <v>1751.59</v>
      </c>
      <c r="I532" s="18">
        <f>1035.03</f>
        <v>1035.03</v>
      </c>
      <c r="J532" s="18"/>
      <c r="K532" s="18">
        <f>487.13</f>
        <v>487.13</v>
      </c>
      <c r="L532" s="88">
        <f>SUM(F532:K532)</f>
        <v>95275.89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>
        <f>68398.96</f>
        <v>68398.960000000006</v>
      </c>
      <c r="G533" s="18">
        <f>13308.98</f>
        <v>13308.98</v>
      </c>
      <c r="H533" s="18">
        <f>1564.99</f>
        <v>1564.99</v>
      </c>
      <c r="I533" s="18">
        <f>924.77</f>
        <v>924.77</v>
      </c>
      <c r="J533" s="18"/>
      <c r="K533" s="18">
        <f>435.24</f>
        <v>435.24</v>
      </c>
      <c r="L533" s="88">
        <f>SUM(F533:K533)</f>
        <v>84632.940000000017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263072.93</v>
      </c>
      <c r="G534" s="89">
        <f t="shared" ref="G534:L534" si="38">SUM(G531:G533)</f>
        <v>43729.5</v>
      </c>
      <c r="H534" s="89">
        <f t="shared" si="38"/>
        <v>6019.2</v>
      </c>
      <c r="I534" s="89">
        <f t="shared" si="38"/>
        <v>3556.7999999999997</v>
      </c>
      <c r="J534" s="89">
        <f t="shared" si="38"/>
        <v>0</v>
      </c>
      <c r="K534" s="89">
        <f t="shared" si="38"/>
        <v>1674</v>
      </c>
      <c r="L534" s="89">
        <f t="shared" si="38"/>
        <v>318052.43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>
        <f>11679.33</f>
        <v>11679.33</v>
      </c>
      <c r="I536" s="18"/>
      <c r="J536" s="18"/>
      <c r="K536" s="18"/>
      <c r="L536" s="88">
        <f>SUM(F536:K536)</f>
        <v>11679.33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>
        <f>8235.43</f>
        <v>8235.43</v>
      </c>
      <c r="I537" s="18"/>
      <c r="J537" s="18"/>
      <c r="K537" s="18"/>
      <c r="L537" s="88">
        <f>SUM(F537:K537)</f>
        <v>8235.43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>
        <f>10032.25</f>
        <v>10032.25</v>
      </c>
      <c r="I538" s="18"/>
      <c r="J538" s="18"/>
      <c r="K538" s="18"/>
      <c r="L538" s="88">
        <f>SUM(F538:K538)</f>
        <v>10032.25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29947.010000000002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29947.010000000002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>
        <v>123968.96000000001</v>
      </c>
      <c r="I541" s="18"/>
      <c r="J541" s="18"/>
      <c r="K541" s="18"/>
      <c r="L541" s="88">
        <f>SUM(F541:K541)</f>
        <v>123968.96000000001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>
        <f>55062.49</f>
        <v>55062.49</v>
      </c>
      <c r="I542" s="18"/>
      <c r="J542" s="18"/>
      <c r="K542" s="18"/>
      <c r="L542" s="88">
        <f>SUM(F542:K542)</f>
        <v>55062.49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>
        <f>220218.18</f>
        <v>220218.18</v>
      </c>
      <c r="I543" s="18"/>
      <c r="J543" s="18"/>
      <c r="K543" s="18"/>
      <c r="L543" s="88">
        <f>SUM(F543:K543)</f>
        <v>220218.18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399249.63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399249.63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6418173.6999999993</v>
      </c>
      <c r="G545" s="89">
        <f t="shared" ref="G545:L545" si="41">G524+G529+G534+G539+G544</f>
        <v>2376602.92</v>
      </c>
      <c r="H545" s="89">
        <f t="shared" si="41"/>
        <v>1227523.73</v>
      </c>
      <c r="I545" s="89">
        <f t="shared" si="41"/>
        <v>66837.239999999991</v>
      </c>
      <c r="J545" s="89">
        <f t="shared" si="41"/>
        <v>3634.76</v>
      </c>
      <c r="K545" s="89">
        <f t="shared" si="41"/>
        <v>2471.65</v>
      </c>
      <c r="L545" s="89">
        <f t="shared" si="41"/>
        <v>10095244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3029961.69</v>
      </c>
      <c r="G549" s="87">
        <f>L526</f>
        <v>1105959.48</v>
      </c>
      <c r="H549" s="87">
        <f>L531</f>
        <v>138143.6</v>
      </c>
      <c r="I549" s="87">
        <f>L536</f>
        <v>11679.33</v>
      </c>
      <c r="J549" s="87">
        <f>L541</f>
        <v>123968.96000000001</v>
      </c>
      <c r="K549" s="87">
        <f>SUM(F549:J549)</f>
        <v>4409713.0599999996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1751244.62</v>
      </c>
      <c r="G550" s="87">
        <f>L527</f>
        <v>519420.9</v>
      </c>
      <c r="H550" s="87">
        <f>L532</f>
        <v>95275.89</v>
      </c>
      <c r="I550" s="87">
        <f>L537</f>
        <v>8235.43</v>
      </c>
      <c r="J550" s="87">
        <f>L542</f>
        <v>55062.49</v>
      </c>
      <c r="K550" s="87">
        <f>SUM(F550:J550)</f>
        <v>2429239.3300000005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2008820.9</v>
      </c>
      <c r="G551" s="87">
        <f>L528</f>
        <v>932587.34</v>
      </c>
      <c r="H551" s="87">
        <f>L533</f>
        <v>84632.940000000017</v>
      </c>
      <c r="I551" s="87">
        <f>L538</f>
        <v>10032.25</v>
      </c>
      <c r="J551" s="87">
        <f>L543</f>
        <v>220218.18</v>
      </c>
      <c r="K551" s="87">
        <f>SUM(F551:J551)</f>
        <v>3256291.61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6790027.2100000009</v>
      </c>
      <c r="G552" s="89">
        <f t="shared" si="42"/>
        <v>2557967.7199999997</v>
      </c>
      <c r="H552" s="89">
        <f t="shared" si="42"/>
        <v>318052.43</v>
      </c>
      <c r="I552" s="89">
        <f t="shared" si="42"/>
        <v>29947.010000000002</v>
      </c>
      <c r="J552" s="89">
        <f t="shared" si="42"/>
        <v>399249.63</v>
      </c>
      <c r="K552" s="89">
        <f t="shared" si="42"/>
        <v>10095244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>
        <f>254562.71</f>
        <v>254562.71</v>
      </c>
      <c r="G557" s="18">
        <f>32071.47</f>
        <v>32071.47</v>
      </c>
      <c r="H557" s="18">
        <f>3675.57</f>
        <v>3675.57</v>
      </c>
      <c r="I557" s="18">
        <f>14160.48</f>
        <v>14160.48</v>
      </c>
      <c r="J557" s="18">
        <f>150</f>
        <v>150</v>
      </c>
      <c r="K557" s="18"/>
      <c r="L557" s="88">
        <f>SUM(F557:K557)</f>
        <v>304620.23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254562.71</v>
      </c>
      <c r="G560" s="108">
        <f t="shared" si="43"/>
        <v>32071.47</v>
      </c>
      <c r="H560" s="108">
        <f t="shared" si="43"/>
        <v>3675.57</v>
      </c>
      <c r="I560" s="108">
        <f t="shared" si="43"/>
        <v>14160.48</v>
      </c>
      <c r="J560" s="108">
        <f t="shared" si="43"/>
        <v>150</v>
      </c>
      <c r="K560" s="108">
        <f t="shared" si="43"/>
        <v>0</v>
      </c>
      <c r="L560" s="89">
        <f t="shared" si="43"/>
        <v>304620.23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>
        <f>1429.55+35573.62</f>
        <v>37003.170000000006</v>
      </c>
      <c r="G562" s="18">
        <f>251.1+18853.66</f>
        <v>19104.759999999998</v>
      </c>
      <c r="H562" s="18">
        <f>165.39</f>
        <v>165.39</v>
      </c>
      <c r="I562" s="18">
        <f>40.51</f>
        <v>40.51</v>
      </c>
      <c r="J562" s="18"/>
      <c r="K562" s="18"/>
      <c r="L562" s="88">
        <f>SUM(F562:K562)</f>
        <v>56313.830000000009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>
        <f>1008.01+25083.96</f>
        <v>26091.969999999998</v>
      </c>
      <c r="G563" s="18">
        <f>177.06+13294.48</f>
        <v>13471.539999999999</v>
      </c>
      <c r="H563" s="18">
        <f>116.62</f>
        <v>116.62</v>
      </c>
      <c r="I563" s="18">
        <f>28.57</f>
        <v>28.57</v>
      </c>
      <c r="J563" s="18"/>
      <c r="K563" s="18"/>
      <c r="L563" s="88">
        <f>SUM(F563:K563)</f>
        <v>39708.699999999997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>
        <f>1227.94+30556.82</f>
        <v>31784.76</v>
      </c>
      <c r="G564" s="18">
        <f>215.69+16194.58</f>
        <v>16410.27</v>
      </c>
      <c r="H564" s="18">
        <f>142.06</f>
        <v>142.06</v>
      </c>
      <c r="I564" s="18">
        <f>34.8</f>
        <v>34.799999999999997</v>
      </c>
      <c r="J564" s="18"/>
      <c r="K564" s="18"/>
      <c r="L564" s="88">
        <f>SUM(F564:K564)</f>
        <v>48371.89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94879.9</v>
      </c>
      <c r="G565" s="89">
        <f t="shared" si="44"/>
        <v>48986.569999999992</v>
      </c>
      <c r="H565" s="89">
        <f t="shared" si="44"/>
        <v>424.07</v>
      </c>
      <c r="I565" s="89">
        <f t="shared" si="44"/>
        <v>103.88</v>
      </c>
      <c r="J565" s="89">
        <f t="shared" si="44"/>
        <v>0</v>
      </c>
      <c r="K565" s="89">
        <f t="shared" si="44"/>
        <v>0</v>
      </c>
      <c r="L565" s="89">
        <f t="shared" si="44"/>
        <v>144394.41999999998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>
        <v>80904</v>
      </c>
      <c r="G567" s="18">
        <f>48985.46</f>
        <v>48985.46</v>
      </c>
      <c r="H567" s="18"/>
      <c r="I567" s="18">
        <f>293.04</f>
        <v>293.04000000000002</v>
      </c>
      <c r="J567" s="18"/>
      <c r="K567" s="18">
        <v>267.5</v>
      </c>
      <c r="L567" s="88">
        <f>SUM(F567:K567)</f>
        <v>130449.99999999999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>
        <v>735</v>
      </c>
      <c r="L568" s="88">
        <f>SUM(F568:K568)</f>
        <v>735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80904</v>
      </c>
      <c r="G570" s="193">
        <f t="shared" ref="G570:L570" si="45">SUM(G567:G569)</f>
        <v>48985.46</v>
      </c>
      <c r="H570" s="193">
        <f t="shared" si="45"/>
        <v>0</v>
      </c>
      <c r="I570" s="193">
        <f t="shared" si="45"/>
        <v>293.04000000000002</v>
      </c>
      <c r="J570" s="193">
        <f t="shared" si="45"/>
        <v>0</v>
      </c>
      <c r="K570" s="193">
        <f t="shared" si="45"/>
        <v>1002.5</v>
      </c>
      <c r="L570" s="193">
        <f t="shared" si="45"/>
        <v>131185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430346.61</v>
      </c>
      <c r="G571" s="89">
        <f t="shared" ref="G571:L571" si="46">G560+G565+G570</f>
        <v>130043.5</v>
      </c>
      <c r="H571" s="89">
        <f t="shared" si="46"/>
        <v>4099.6400000000003</v>
      </c>
      <c r="I571" s="89">
        <f t="shared" si="46"/>
        <v>14557.4</v>
      </c>
      <c r="J571" s="89">
        <f t="shared" si="46"/>
        <v>150</v>
      </c>
      <c r="K571" s="89">
        <f t="shared" si="46"/>
        <v>1002.5</v>
      </c>
      <c r="L571" s="89">
        <f t="shared" si="46"/>
        <v>580199.64999999991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>
        <v>80755.199999999997</v>
      </c>
      <c r="G582" s="18">
        <v>46055.19</v>
      </c>
      <c r="H582" s="18">
        <v>435381.6</v>
      </c>
      <c r="I582" s="87">
        <f t="shared" si="47"/>
        <v>562191.99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>
        <v>10369.959999999999</v>
      </c>
      <c r="I584" s="87">
        <f t="shared" si="47"/>
        <v>10369.959999999999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409433.65</v>
      </c>
      <c r="I591" s="18">
        <v>241273.4</v>
      </c>
      <c r="J591" s="18">
        <v>80424.47</v>
      </c>
      <c r="K591" s="104">
        <f t="shared" ref="K591:K597" si="48">SUM(H591:J591)</f>
        <v>731131.52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123968.96000000001</v>
      </c>
      <c r="I592" s="18">
        <v>55062.49</v>
      </c>
      <c r="J592" s="18">
        <v>220218.18</v>
      </c>
      <c r="K592" s="104">
        <f t="shared" si="48"/>
        <v>399249.63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>
        <v>8180.5</v>
      </c>
      <c r="K593" s="104">
        <f t="shared" si="48"/>
        <v>8180.5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/>
      <c r="I594" s="18">
        <v>24479.91</v>
      </c>
      <c r="J594" s="18">
        <v>87379.36</v>
      </c>
      <c r="K594" s="104">
        <f t="shared" si="48"/>
        <v>111859.27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533402.61</v>
      </c>
      <c r="I598" s="108">
        <f>SUM(I591:I597)</f>
        <v>320815.8</v>
      </c>
      <c r="J598" s="108">
        <f>SUM(J591:J597)</f>
        <v>396202.51</v>
      </c>
      <c r="K598" s="108">
        <f>SUM(K591:K597)</f>
        <v>1250420.92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f>52402.42+122731.07</f>
        <v>175133.49</v>
      </c>
      <c r="I604" s="18">
        <f>72624.14+88114.61</f>
        <v>160738.75</v>
      </c>
      <c r="J604" s="18">
        <f>233631.5+103849.37+0.01</f>
        <v>337480.88</v>
      </c>
      <c r="K604" s="104">
        <f>SUM(H604:J604)</f>
        <v>673353.12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175133.49</v>
      </c>
      <c r="I605" s="108">
        <f>SUM(I602:I604)</f>
        <v>160738.75</v>
      </c>
      <c r="J605" s="108">
        <f>SUM(J602:J604)</f>
        <v>337480.88</v>
      </c>
      <c r="K605" s="108">
        <f>SUM(K602:K604)</f>
        <v>673353.12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>
        <f>14804+20154.83</f>
        <v>34958.83</v>
      </c>
      <c r="G611" s="18">
        <f>2769.51+3023.22</f>
        <v>5792.73</v>
      </c>
      <c r="H611" s="18"/>
      <c r="I611" s="18">
        <v>801.39</v>
      </c>
      <c r="J611" s="18"/>
      <c r="K611" s="18"/>
      <c r="L611" s="88">
        <f>SUM(F611:K611)</f>
        <v>41552.949999999997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>
        <f>17909.59</f>
        <v>17909.59</v>
      </c>
      <c r="G612" s="18">
        <f>2686.43</f>
        <v>2686.43</v>
      </c>
      <c r="H612" s="18"/>
      <c r="I612" s="18"/>
      <c r="J612" s="18"/>
      <c r="K612" s="18"/>
      <c r="L612" s="88">
        <f>SUM(F612:K612)</f>
        <v>20596.02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>
        <f>12967.34</f>
        <v>12967.34</v>
      </c>
      <c r="G613" s="18">
        <f>1945.1</f>
        <v>1945.1</v>
      </c>
      <c r="H613" s="18"/>
      <c r="I613" s="18"/>
      <c r="J613" s="18"/>
      <c r="K613" s="18"/>
      <c r="L613" s="88">
        <f>SUM(F613:K613)</f>
        <v>14912.44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65835.759999999995</v>
      </c>
      <c r="G614" s="108">
        <f t="shared" si="49"/>
        <v>10424.26</v>
      </c>
      <c r="H614" s="108">
        <f t="shared" si="49"/>
        <v>0</v>
      </c>
      <c r="I614" s="108">
        <f t="shared" si="49"/>
        <v>801.39</v>
      </c>
      <c r="J614" s="108">
        <f t="shared" si="49"/>
        <v>0</v>
      </c>
      <c r="K614" s="108">
        <f t="shared" si="49"/>
        <v>0</v>
      </c>
      <c r="L614" s="89">
        <f t="shared" si="49"/>
        <v>77061.41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3819097.58</v>
      </c>
      <c r="H617" s="109">
        <f>SUM(F52)</f>
        <v>3819097.58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65977.61</v>
      </c>
      <c r="H618" s="109">
        <f>SUM(G52)</f>
        <v>65977.61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176219.4</v>
      </c>
      <c r="H619" s="109">
        <f>SUM(H52)</f>
        <v>176219.40000000002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2503349.5699999998</v>
      </c>
      <c r="H620" s="109">
        <f>SUM(I52)</f>
        <v>2503349.5699999998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4430975.8599999994</v>
      </c>
      <c r="H621" s="109">
        <f>SUM(J52)</f>
        <v>4430975.8600000003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1000020.24</v>
      </c>
      <c r="H622" s="109">
        <f>F476</f>
        <v>1000020.2400000021</v>
      </c>
      <c r="I622" s="121" t="s">
        <v>101</v>
      </c>
      <c r="J622" s="109">
        <f t="shared" ref="J622:J655" si="50">G622-H622</f>
        <v>-2.0954757928848267E-9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42855.35</v>
      </c>
      <c r="H623" s="109">
        <f>G476</f>
        <v>42855.350000000093</v>
      </c>
      <c r="I623" s="121" t="s">
        <v>102</v>
      </c>
      <c r="J623" s="109">
        <f t="shared" si="50"/>
        <v>-9.4587448984384537E-11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66818.600000000006</v>
      </c>
      <c r="H624" s="109">
        <f>H476</f>
        <v>66818.600000000093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2488565.0699999998</v>
      </c>
      <c r="H625" s="109">
        <f>I476</f>
        <v>2488565.0699999998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4430975.8600000003</v>
      </c>
      <c r="H626" s="109">
        <f>J476</f>
        <v>4430975.8599999994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38770598.819999993</v>
      </c>
      <c r="H627" s="104">
        <f>SUM(F468)</f>
        <v>38770598.82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592294.77</v>
      </c>
      <c r="H628" s="104">
        <f>SUM(G468)</f>
        <v>592294.77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1261088.5899999999</v>
      </c>
      <c r="H629" s="104">
        <f>SUM(H468)</f>
        <v>1261088.5900000001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3012467.34</v>
      </c>
      <c r="H630" s="104">
        <f>SUM(I468)</f>
        <v>3012467.34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167496.72999999998</v>
      </c>
      <c r="H631" s="104">
        <f>SUM(J468)</f>
        <v>167496.73000000001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38442757.869999997</v>
      </c>
      <c r="H632" s="104">
        <f>SUM(F472)</f>
        <v>38442757.869999997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1264338.01</v>
      </c>
      <c r="H633" s="104">
        <f>SUM(H472)</f>
        <v>1264338.01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224337.54</v>
      </c>
      <c r="H634" s="104">
        <f>I369</f>
        <v>224337.53999999998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575511.84</v>
      </c>
      <c r="H635" s="104">
        <f>SUM(G472)</f>
        <v>575511.84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523902.27</v>
      </c>
      <c r="H636" s="104">
        <f>SUM(I472)</f>
        <v>523902.27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167496.72999999998</v>
      </c>
      <c r="H637" s="164">
        <f>SUM(J468)</f>
        <v>167496.73000000001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58327.95</v>
      </c>
      <c r="H638" s="164">
        <f>SUM(J472)</f>
        <v>58327.95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145041.79999999999</v>
      </c>
      <c r="H640" s="104">
        <f>SUM(G461)</f>
        <v>145041.80000000002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4285934.0599999996</v>
      </c>
      <c r="H641" s="104">
        <f>SUM(H461)</f>
        <v>4285934.0600000005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4430975.8599999994</v>
      </c>
      <c r="H642" s="104">
        <f>SUM(I461)</f>
        <v>4430975.8600000003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128540.12</v>
      </c>
      <c r="H644" s="104">
        <f>H408</f>
        <v>128540.12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0</v>
      </c>
      <c r="H645" s="104">
        <f>G408</f>
        <v>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167496.72999999998</v>
      </c>
      <c r="H646" s="104">
        <f>L408</f>
        <v>167496.72999999998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1250420.92</v>
      </c>
      <c r="H647" s="104">
        <f>L208+L226+L244</f>
        <v>1250420.92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673353.12</v>
      </c>
      <c r="H648" s="104">
        <f>(J257+J338)-(J255+J336)</f>
        <v>673353.12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533402.61</v>
      </c>
      <c r="H649" s="104">
        <f>H598</f>
        <v>533402.61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320815.8</v>
      </c>
      <c r="H650" s="104">
        <f>I598</f>
        <v>320815.8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396202.51</v>
      </c>
      <c r="H651" s="104">
        <f>J598</f>
        <v>396202.51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0</v>
      </c>
      <c r="H652" s="104">
        <f>K263+K345</f>
        <v>0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0</v>
      </c>
      <c r="H655" s="104">
        <f>K266+K347</f>
        <v>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14735717.35</v>
      </c>
      <c r="G660" s="19">
        <f>(L229+L309+L359)</f>
        <v>9582241.3200000003</v>
      </c>
      <c r="H660" s="19">
        <f>(L247+L328+L360)</f>
        <v>14711636.42</v>
      </c>
      <c r="I660" s="19">
        <f>SUM(F660:H660)</f>
        <v>39029595.090000004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109403.25179145783</v>
      </c>
      <c r="G661" s="19">
        <f>(L359/IF(SUM(L358:L360)=0,1,SUM(L358:L360))*(SUM(G97:G110)))</f>
        <v>116941.6068396937</v>
      </c>
      <c r="H661" s="19">
        <f>(L360/IF(SUM(L358:L360)=0,1,SUM(L358:L360))*(SUM(G97:G110)))</f>
        <v>156384.77136884848</v>
      </c>
      <c r="I661" s="19">
        <f>SUM(F661:H661)</f>
        <v>382729.63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534792.61</v>
      </c>
      <c r="G662" s="19">
        <f>(L226+L306)-(J226+J306)</f>
        <v>320815.8</v>
      </c>
      <c r="H662" s="19">
        <f>(L244+L325)-(J244+J325)</f>
        <v>408589.33</v>
      </c>
      <c r="I662" s="19">
        <f>SUM(F662:H662)</f>
        <v>1264197.74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297441.64</v>
      </c>
      <c r="G663" s="199">
        <f>SUM(G575:G587)+SUM(I602:I604)+L612</f>
        <v>227389.96</v>
      </c>
      <c r="H663" s="199">
        <f>SUM(H575:H587)+SUM(J602:J604)+L613</f>
        <v>798144.87999999989</v>
      </c>
      <c r="I663" s="19">
        <f>SUM(F663:H663)</f>
        <v>1322976.48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13794079.848208541</v>
      </c>
      <c r="G664" s="19">
        <f>G660-SUM(G661:G663)</f>
        <v>8917093.9531603064</v>
      </c>
      <c r="H664" s="19">
        <f>H660-SUM(H661:H663)</f>
        <v>13348517.438631151</v>
      </c>
      <c r="I664" s="19">
        <f>I660-SUM(I661:I663)</f>
        <v>36059691.240000002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854.05</v>
      </c>
      <c r="G665" s="248">
        <v>557.1</v>
      </c>
      <c r="H665" s="248">
        <v>843.29</v>
      </c>
      <c r="I665" s="19">
        <f>SUM(F665:H665)</f>
        <v>2254.44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16151.37</v>
      </c>
      <c r="G667" s="19">
        <f>ROUND(G664/G665,2)</f>
        <v>16006.27</v>
      </c>
      <c r="H667" s="19">
        <f>ROUND(H664/H665,2)</f>
        <v>15829.09</v>
      </c>
      <c r="I667" s="19">
        <f>ROUND(I664/I665,2)</f>
        <v>15994.97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>
        <v>0.1</v>
      </c>
      <c r="I670" s="19">
        <f>SUM(F670:H670)</f>
        <v>0.1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16151.37</v>
      </c>
      <c r="G672" s="19">
        <f>ROUND((G664+G669)/(G665+G670),2)</f>
        <v>16006.27</v>
      </c>
      <c r="H672" s="19">
        <f>ROUND((H664+H669)/(H665+H670),2)</f>
        <v>15827.22</v>
      </c>
      <c r="I672" s="19">
        <f>ROUND((I664+I669)/(I665+I670),2)</f>
        <v>15994.26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zoomScale="140" zoomScaleNormal="140" workbookViewId="0">
      <selection activeCell="C39" sqref="C3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Milford School District SAU #40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9757826.8800000008</v>
      </c>
      <c r="C9" s="229">
        <f>'DOE25'!G197+'DOE25'!G215+'DOE25'!G233+'DOE25'!G276+'DOE25'!G295+'DOE25'!G314</f>
        <v>5679752.8700000001</v>
      </c>
    </row>
    <row r="10" spans="1:3" x14ac:dyDescent="0.2">
      <c r="A10" t="s">
        <v>773</v>
      </c>
      <c r="B10" s="240">
        <v>9056447.4100000001</v>
      </c>
      <c r="C10" s="240">
        <v>5271499.87</v>
      </c>
    </row>
    <row r="11" spans="1:3" x14ac:dyDescent="0.2">
      <c r="A11" t="s">
        <v>774</v>
      </c>
      <c r="B11" s="240">
        <v>486499.58</v>
      </c>
      <c r="C11" s="240">
        <v>283177.53999999998</v>
      </c>
    </row>
    <row r="12" spans="1:3" x14ac:dyDescent="0.2">
      <c r="A12" t="s">
        <v>775</v>
      </c>
      <c r="B12" s="240">
        <v>214879.89</v>
      </c>
      <c r="C12" s="240">
        <v>125075.46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9757826.8800000008</v>
      </c>
      <c r="C13" s="231">
        <f>SUM(C10:C12)</f>
        <v>5679752.8700000001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4141793.0700000003</v>
      </c>
      <c r="C18" s="229">
        <f>'DOE25'!G198+'DOE25'!G216+'DOE25'!G234+'DOE25'!G277+'DOE25'!G296+'DOE25'!G315</f>
        <v>2069538.85</v>
      </c>
    </row>
    <row r="19" spans="1:3" x14ac:dyDescent="0.2">
      <c r="A19" t="s">
        <v>773</v>
      </c>
      <c r="B19" s="240">
        <v>2277427.91</v>
      </c>
      <c r="C19" s="240">
        <v>1137967.4099999999</v>
      </c>
    </row>
    <row r="20" spans="1:3" x14ac:dyDescent="0.2">
      <c r="A20" t="s">
        <v>774</v>
      </c>
      <c r="B20" s="240">
        <v>1780673.68</v>
      </c>
      <c r="C20" s="240">
        <v>889753.13</v>
      </c>
    </row>
    <row r="21" spans="1:3" x14ac:dyDescent="0.2">
      <c r="A21" t="s">
        <v>775</v>
      </c>
      <c r="B21" s="240">
        <v>83691.48</v>
      </c>
      <c r="C21" s="240">
        <v>41818.31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4141793.07</v>
      </c>
      <c r="C22" s="231">
        <f>SUM(C19:C21)</f>
        <v>2069538.85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761059.68</v>
      </c>
      <c r="C27" s="234">
        <f>'DOE25'!G199+'DOE25'!G217+'DOE25'!G235+'DOE25'!G278+'DOE25'!G297+'DOE25'!G316</f>
        <v>401147.03</v>
      </c>
    </row>
    <row r="28" spans="1:3" x14ac:dyDescent="0.2">
      <c r="A28" t="s">
        <v>773</v>
      </c>
      <c r="B28" s="240">
        <v>761059.68</v>
      </c>
      <c r="C28" s="240">
        <v>401147.03</v>
      </c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761059.68</v>
      </c>
      <c r="C31" s="231">
        <f>SUM(C28:C30)</f>
        <v>401147.03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221758.82</v>
      </c>
      <c r="C36" s="235">
        <f>'DOE25'!G200+'DOE25'!G218+'DOE25'!G236+'DOE25'!G279+'DOE25'!G298+'DOE25'!G317</f>
        <v>26775.020000000004</v>
      </c>
    </row>
    <row r="37" spans="1:3" x14ac:dyDescent="0.2">
      <c r="A37" t="s">
        <v>773</v>
      </c>
      <c r="B37" s="240">
        <v>19093.5</v>
      </c>
      <c r="C37" s="240">
        <v>2305.33</v>
      </c>
    </row>
    <row r="38" spans="1:3" x14ac:dyDescent="0.2">
      <c r="A38" t="s">
        <v>774</v>
      </c>
      <c r="B38" s="240">
        <v>4729</v>
      </c>
      <c r="C38" s="240">
        <v>570.98</v>
      </c>
    </row>
    <row r="39" spans="1:3" x14ac:dyDescent="0.2">
      <c r="A39" t="s">
        <v>775</v>
      </c>
      <c r="B39" s="240">
        <v>197936.32</v>
      </c>
      <c r="C39" s="240">
        <v>23898.71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221758.82</v>
      </c>
      <c r="C40" s="231">
        <f>SUM(C37:C39)</f>
        <v>26775.02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zoomScale="140" zoomScaleNormal="140" workbookViewId="0">
      <pane ySplit="4" topLeftCell="A20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Milford School District SAU #40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23500895.539999999</v>
      </c>
      <c r="D5" s="20">
        <f>SUM('DOE25'!L197:L200)+SUM('DOE25'!L215:L218)+SUM('DOE25'!L233:L236)-F5-G5</f>
        <v>23316172.509999998</v>
      </c>
      <c r="E5" s="243"/>
      <c r="F5" s="255">
        <f>SUM('DOE25'!J197:J200)+SUM('DOE25'!J215:J218)+SUM('DOE25'!J233:J236)</f>
        <v>164113.27000000002</v>
      </c>
      <c r="G5" s="53">
        <f>SUM('DOE25'!K197:K200)+SUM('DOE25'!K215:K218)+SUM('DOE25'!K233:K236)</f>
        <v>20609.760000000002</v>
      </c>
      <c r="H5" s="259"/>
    </row>
    <row r="6" spans="1:9" x14ac:dyDescent="0.2">
      <c r="A6" s="32">
        <v>2100</v>
      </c>
      <c r="B6" t="s">
        <v>795</v>
      </c>
      <c r="C6" s="245">
        <f t="shared" si="0"/>
        <v>3170563.26</v>
      </c>
      <c r="D6" s="20">
        <f>'DOE25'!L202+'DOE25'!L220+'DOE25'!L238-F6-G6</f>
        <v>3166276.78</v>
      </c>
      <c r="E6" s="243"/>
      <c r="F6" s="255">
        <f>'DOE25'!J202+'DOE25'!J220+'DOE25'!J238</f>
        <v>3488.8300000000004</v>
      </c>
      <c r="G6" s="53">
        <f>'DOE25'!K202+'DOE25'!K220+'DOE25'!K238</f>
        <v>797.65</v>
      </c>
      <c r="H6" s="259"/>
    </row>
    <row r="7" spans="1:9" x14ac:dyDescent="0.2">
      <c r="A7" s="32">
        <v>2200</v>
      </c>
      <c r="B7" t="s">
        <v>828</v>
      </c>
      <c r="C7" s="245">
        <f t="shared" si="0"/>
        <v>609369.18000000005</v>
      </c>
      <c r="D7" s="20">
        <f>'DOE25'!L203+'DOE25'!L221+'DOE25'!L239-F7-G7</f>
        <v>604010.20000000007</v>
      </c>
      <c r="E7" s="243"/>
      <c r="F7" s="255">
        <f>'DOE25'!J203+'DOE25'!J221+'DOE25'!J239</f>
        <v>5358.9800000000005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796</v>
      </c>
      <c r="C8" s="245">
        <f t="shared" si="0"/>
        <v>1865972.8300000003</v>
      </c>
      <c r="D8" s="243"/>
      <c r="E8" s="20">
        <f>'DOE25'!L204+'DOE25'!L222+'DOE25'!L240-F8-G8-D9-D11</f>
        <v>1838835.1100000003</v>
      </c>
      <c r="F8" s="255">
        <f>'DOE25'!J204+'DOE25'!J222+'DOE25'!J240</f>
        <v>1257.0100000000002</v>
      </c>
      <c r="G8" s="53">
        <f>'DOE25'!K204+'DOE25'!K222+'DOE25'!K240</f>
        <v>25880.71</v>
      </c>
      <c r="H8" s="259"/>
    </row>
    <row r="9" spans="1:9" x14ac:dyDescent="0.2">
      <c r="A9" s="32">
        <v>2310</v>
      </c>
      <c r="B9" t="s">
        <v>812</v>
      </c>
      <c r="C9" s="245">
        <f t="shared" si="0"/>
        <v>90027.57</v>
      </c>
      <c r="D9" s="244">
        <v>90027.57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16800</v>
      </c>
      <c r="D10" s="243"/>
      <c r="E10" s="244">
        <v>16800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317801.96000000002</v>
      </c>
      <c r="D11" s="244">
        <v>317801.96000000002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2026053.3200000003</v>
      </c>
      <c r="D12" s="20">
        <f>'DOE25'!L205+'DOE25'!L223+'DOE25'!L241-F12-G12</f>
        <v>1998825.8400000003</v>
      </c>
      <c r="E12" s="243"/>
      <c r="F12" s="255">
        <f>'DOE25'!J205+'DOE25'!J223+'DOE25'!J241</f>
        <v>2549.1899999999996</v>
      </c>
      <c r="G12" s="53">
        <f>'DOE25'!K205+'DOE25'!K223+'DOE25'!K241</f>
        <v>24678.29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3252717.76</v>
      </c>
      <c r="D14" s="20">
        <f>'DOE25'!L207+'DOE25'!L225+'DOE25'!L243-F14-G14</f>
        <v>2985593.11</v>
      </c>
      <c r="E14" s="243"/>
      <c r="F14" s="255">
        <f>'DOE25'!J207+'DOE25'!J225+'DOE25'!J243</f>
        <v>267124.65000000002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1250420.92</v>
      </c>
      <c r="D15" s="20">
        <f>'DOE25'!L208+'DOE25'!L226+'DOE25'!L244-F15-G15</f>
        <v>1250420.92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1105922.8999999999</v>
      </c>
      <c r="D16" s="243"/>
      <c r="E16" s="20">
        <f>'DOE25'!L209+'DOE25'!L227+'DOE25'!L245-F16-G16</f>
        <v>980031.37999999989</v>
      </c>
      <c r="F16" s="255">
        <f>'DOE25'!J209+'DOE25'!J227+'DOE25'!J245</f>
        <v>125891.52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1253012.6299999999</v>
      </c>
      <c r="D25" s="243"/>
      <c r="E25" s="243"/>
      <c r="F25" s="258"/>
      <c r="G25" s="256"/>
      <c r="H25" s="257">
        <f>'DOE25'!L260+'DOE25'!L261+'DOE25'!L341+'DOE25'!L342</f>
        <v>1253012.6299999999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382953.17</v>
      </c>
      <c r="D29" s="20">
        <f>'DOE25'!L358+'DOE25'!L359+'DOE25'!L360-'DOE25'!I367-F29-G29</f>
        <v>366107.45</v>
      </c>
      <c r="E29" s="243"/>
      <c r="F29" s="255">
        <f>'DOE25'!J358+'DOE25'!J359+'DOE25'!J360</f>
        <v>10244.549999999999</v>
      </c>
      <c r="G29" s="53">
        <f>'DOE25'!K358+'DOE25'!K359+'DOE25'!K360</f>
        <v>6601.17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1264338.01</v>
      </c>
      <c r="D31" s="20">
        <f>'DOE25'!L290+'DOE25'!L309+'DOE25'!L328+'DOE25'!L333+'DOE25'!L334+'DOE25'!L335-F31-G31</f>
        <v>1157624.8400000001</v>
      </c>
      <c r="E31" s="243"/>
      <c r="F31" s="255">
        <f>'DOE25'!J290+'DOE25'!J309+'DOE25'!J328+'DOE25'!J333+'DOE25'!J334+'DOE25'!J335</f>
        <v>103569.67</v>
      </c>
      <c r="G31" s="53">
        <f>'DOE25'!K290+'DOE25'!K309+'DOE25'!K328+'DOE25'!K333+'DOE25'!K334+'DOE25'!K335</f>
        <v>3143.5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35252861.180000007</v>
      </c>
      <c r="E33" s="246">
        <f>SUM(E5:E31)</f>
        <v>2835666.49</v>
      </c>
      <c r="F33" s="246">
        <f>SUM(F5:F31)</f>
        <v>683597.67000000016</v>
      </c>
      <c r="G33" s="246">
        <f>SUM(G5:G31)</f>
        <v>81711.08</v>
      </c>
      <c r="H33" s="246">
        <f>SUM(H5:H31)</f>
        <v>1253012.6299999999</v>
      </c>
    </row>
    <row r="35" spans="2:8" ht="12" thickBot="1" x14ac:dyDescent="0.25">
      <c r="B35" s="253" t="s">
        <v>841</v>
      </c>
      <c r="D35" s="254">
        <f>E33</f>
        <v>2835666.49</v>
      </c>
      <c r="E35" s="249"/>
    </row>
    <row r="36" spans="2:8" ht="12" thickTop="1" x14ac:dyDescent="0.2">
      <c r="B36" t="s">
        <v>809</v>
      </c>
      <c r="D36" s="20">
        <f>D33</f>
        <v>35252861.180000007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120" zoomScaleNormal="120" workbookViewId="0">
      <pane ySplit="2" topLeftCell="A84" activePane="bottomLeft" state="frozen"/>
      <selection activeCell="F46" sqref="F46"/>
      <selection pane="bottomLeft" activeCell="C141" sqref="C141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Milford School District SAU #40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3415335.13</v>
      </c>
      <c r="D8" s="95">
        <f>'DOE25'!G9</f>
        <v>365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109400.8</v>
      </c>
      <c r="D11" s="95">
        <f>'DOE25'!G12</f>
        <v>54248.25</v>
      </c>
      <c r="E11" s="95">
        <f>'DOE25'!H12</f>
        <v>0</v>
      </c>
      <c r="F11" s="95">
        <f>'DOE25'!I12</f>
        <v>2503349.5699999998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214999.62</v>
      </c>
      <c r="D12" s="95">
        <f>'DOE25'!G13</f>
        <v>11364.36</v>
      </c>
      <c r="E12" s="95">
        <f>'DOE25'!H13</f>
        <v>161269.4</v>
      </c>
      <c r="F12" s="95">
        <f>'DOE25'!I13</f>
        <v>0</v>
      </c>
      <c r="G12" s="95">
        <f>'DOE25'!J13</f>
        <v>4430975.8599999994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56.95</v>
      </c>
      <c r="D13" s="95">
        <f>'DOE25'!G14</f>
        <v>0</v>
      </c>
      <c r="E13" s="95">
        <f>'DOE25'!H14</f>
        <v>14950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79305.08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3819097.58</v>
      </c>
      <c r="D18" s="41">
        <f>SUM(D8:D17)</f>
        <v>65977.61</v>
      </c>
      <c r="E18" s="41">
        <f>SUM(E8:E17)</f>
        <v>176219.4</v>
      </c>
      <c r="F18" s="41">
        <f>SUM(F8:F17)</f>
        <v>2503349.5699999998</v>
      </c>
      <c r="G18" s="41">
        <f>SUM(G8:G17)</f>
        <v>4430975.8599999994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2557597.8199999998</v>
      </c>
      <c r="D21" s="95">
        <f>'DOE25'!G22</f>
        <v>0</v>
      </c>
      <c r="E21" s="95">
        <f>'DOE25'!H22</f>
        <v>109400.8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39706.629999999997</v>
      </c>
      <c r="D23" s="95">
        <f>'DOE25'!G24</f>
        <v>0</v>
      </c>
      <c r="E23" s="95">
        <f>'DOE25'!H24</f>
        <v>0</v>
      </c>
      <c r="F23" s="95">
        <f>'DOE25'!I24</f>
        <v>14784.5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221772.89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23122.26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2819077.34</v>
      </c>
      <c r="D31" s="41">
        <f>SUM(D21:D30)</f>
        <v>23122.26</v>
      </c>
      <c r="E31" s="41">
        <f>SUM(E21:E30)</f>
        <v>109400.8</v>
      </c>
      <c r="F31" s="41">
        <f>SUM(F21:F30)</f>
        <v>14784.5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79305.08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61186.69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67353.429999999993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4302435.74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200000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42855.35</v>
      </c>
      <c r="E47" s="95">
        <f>'DOE25'!H48</f>
        <v>66818.600000000006</v>
      </c>
      <c r="F47" s="95">
        <f>'DOE25'!I48</f>
        <v>2488565.0699999998</v>
      </c>
      <c r="G47" s="95">
        <f>'DOE25'!J48</f>
        <v>0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96047.42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624667.74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1000020.24</v>
      </c>
      <c r="D50" s="41">
        <f>SUM(D34:D49)</f>
        <v>42855.35</v>
      </c>
      <c r="E50" s="41">
        <f>SUM(E34:E49)</f>
        <v>66818.600000000006</v>
      </c>
      <c r="F50" s="41">
        <f>SUM(F34:F49)</f>
        <v>2488565.0699999998</v>
      </c>
      <c r="G50" s="41">
        <f>SUM(G34:G49)</f>
        <v>4430975.8600000003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3819097.58</v>
      </c>
      <c r="D51" s="41">
        <f>D50+D31</f>
        <v>65977.61</v>
      </c>
      <c r="E51" s="41">
        <f>E50+E31</f>
        <v>176219.40000000002</v>
      </c>
      <c r="F51" s="41">
        <f>F50+F31</f>
        <v>2503349.5699999998</v>
      </c>
      <c r="G51" s="41">
        <f>G50+G31</f>
        <v>4430975.8600000003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25996113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1407296.39</v>
      </c>
      <c r="D57" s="24" t="s">
        <v>286</v>
      </c>
      <c r="E57" s="95">
        <f>'DOE25'!H79</f>
        <v>104455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9548.65</v>
      </c>
      <c r="D59" s="95">
        <f>'DOE25'!G96</f>
        <v>0</v>
      </c>
      <c r="E59" s="95">
        <f>'DOE25'!H96</f>
        <v>0</v>
      </c>
      <c r="F59" s="95">
        <f>'DOE25'!I96</f>
        <v>12467.34</v>
      </c>
      <c r="G59" s="95">
        <f>'DOE25'!J96</f>
        <v>128540.12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382729.63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21400.66</v>
      </c>
      <c r="D61" s="95">
        <f>SUM('DOE25'!G98:G110)</f>
        <v>0</v>
      </c>
      <c r="E61" s="95">
        <f>SUM('DOE25'!H98:H110)</f>
        <v>21270.42</v>
      </c>
      <c r="F61" s="95">
        <f>SUM('DOE25'!I98:I110)</f>
        <v>0</v>
      </c>
      <c r="G61" s="95">
        <f>SUM('DOE25'!J98:J110)</f>
        <v>38956.61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1438245.6999999997</v>
      </c>
      <c r="D62" s="130">
        <f>SUM(D57:D61)</f>
        <v>382729.63</v>
      </c>
      <c r="E62" s="130">
        <f>SUM(E57:E61)</f>
        <v>125725.42</v>
      </c>
      <c r="F62" s="130">
        <f>SUM(F57:F61)</f>
        <v>12467.34</v>
      </c>
      <c r="G62" s="130">
        <f>SUM(G57:G61)</f>
        <v>167496.72999999998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27434358.699999999</v>
      </c>
      <c r="D63" s="22">
        <f>D56+D62</f>
        <v>382729.63</v>
      </c>
      <c r="E63" s="22">
        <f>E56+E62</f>
        <v>125725.42</v>
      </c>
      <c r="F63" s="22">
        <f>F56+F62</f>
        <v>12467.34</v>
      </c>
      <c r="G63" s="22">
        <f>G56+G62</f>
        <v>167496.72999999998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7278914.0899999999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3024936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32636.19</v>
      </c>
      <c r="D69" s="95">
        <f>'DOE25'!G120</f>
        <v>0</v>
      </c>
      <c r="E69" s="95">
        <f>'DOE25'!H120</f>
        <v>5299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10336486.279999999</v>
      </c>
      <c r="D70" s="139">
        <f>D69</f>
        <v>0</v>
      </c>
      <c r="E70" s="139">
        <f>E69</f>
        <v>5299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240864.93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144656.51999999999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62737.600000000006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124203.1</v>
      </c>
      <c r="D77" s="95">
        <f>SUM('DOE25'!G131:G135)</f>
        <v>9249.58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572462.14999999991</v>
      </c>
      <c r="D78" s="130">
        <f>SUM(D72:D77)</f>
        <v>9249.58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10908948.43</v>
      </c>
      <c r="D81" s="130">
        <f>SUM(D79:D80)+D78+D70</f>
        <v>9249.58</v>
      </c>
      <c r="E81" s="130">
        <f>SUM(E79:E80)+E78+E70</f>
        <v>5299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392291.69</v>
      </c>
      <c r="D88" s="95">
        <f>SUM('DOE25'!G153:G161)</f>
        <v>200315.56</v>
      </c>
      <c r="E88" s="95">
        <f>SUM('DOE25'!H153:H161)</f>
        <v>1130064.17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392291.69</v>
      </c>
      <c r="D91" s="131">
        <f>SUM(D85:D90)</f>
        <v>200315.56</v>
      </c>
      <c r="E91" s="131">
        <f>SUM(E85:E90)</f>
        <v>1130064.17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3000000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35000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35000</v>
      </c>
      <c r="D103" s="86">
        <f>SUM(D93:D102)</f>
        <v>0</v>
      </c>
      <c r="E103" s="86">
        <f>SUM(E93:E102)</f>
        <v>0</v>
      </c>
      <c r="F103" s="86">
        <f>SUM(F93:F102)</f>
        <v>3000000</v>
      </c>
      <c r="G103" s="86">
        <f>SUM(G93:G102)</f>
        <v>0</v>
      </c>
    </row>
    <row r="104" spans="1:7" ht="12.75" thickTop="1" thickBot="1" x14ac:dyDescent="0.25">
      <c r="A104" s="33" t="s">
        <v>759</v>
      </c>
      <c r="C104" s="86">
        <f>C63+C81+C91+C103</f>
        <v>38770598.819999993</v>
      </c>
      <c r="D104" s="86">
        <f>D63+D81+D91+D103</f>
        <v>592294.77</v>
      </c>
      <c r="E104" s="86">
        <f>E63+E81+E91+E103</f>
        <v>1261088.5899999999</v>
      </c>
      <c r="F104" s="86">
        <f>F63+F81+F91+F103</f>
        <v>3012467.34</v>
      </c>
      <c r="G104" s="86">
        <f>G63+G81+G103</f>
        <v>167496.72999999998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15539178.07</v>
      </c>
      <c r="D109" s="24" t="s">
        <v>286</v>
      </c>
      <c r="E109" s="95">
        <f>('DOE25'!L276)+('DOE25'!L295)+('DOE25'!L314)</f>
        <v>320197.84999999998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6360056.1500000004</v>
      </c>
      <c r="D110" s="24" t="s">
        <v>286</v>
      </c>
      <c r="E110" s="95">
        <f>('DOE25'!L277)+('DOE25'!L296)+('DOE25'!L315)</f>
        <v>586582.22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1246042.8699999999</v>
      </c>
      <c r="D111" s="24" t="s">
        <v>286</v>
      </c>
      <c r="E111" s="95">
        <f>('DOE25'!L278)+('DOE25'!L297)+('DOE25'!L316)</f>
        <v>11054.720000000001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355618.45000000007</v>
      </c>
      <c r="D112" s="24" t="s">
        <v>286</v>
      </c>
      <c r="E112" s="95">
        <f>+('DOE25'!L279)+('DOE25'!L298)+('DOE25'!L317)</f>
        <v>115157.15999999999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23500895.539999999</v>
      </c>
      <c r="D115" s="86">
        <f>SUM(D109:D114)</f>
        <v>0</v>
      </c>
      <c r="E115" s="86">
        <f>SUM(E109:E114)</f>
        <v>1032991.95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3170563.26</v>
      </c>
      <c r="D118" s="24" t="s">
        <v>286</v>
      </c>
      <c r="E118" s="95">
        <f>+('DOE25'!L281)+('DOE25'!L300)+('DOE25'!L319)</f>
        <v>59111.47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609369.18000000005</v>
      </c>
      <c r="D119" s="24" t="s">
        <v>286</v>
      </c>
      <c r="E119" s="95">
        <f>+('DOE25'!L282)+('DOE25'!L301)+('DOE25'!L320)</f>
        <v>50962.17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2273802.36</v>
      </c>
      <c r="D120" s="24" t="s">
        <v>286</v>
      </c>
      <c r="E120" s="95">
        <f>+('DOE25'!L283)+('DOE25'!L302)+('DOE25'!L321)</f>
        <v>93450.98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2026053.3200000003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3252717.76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1250420.92</v>
      </c>
      <c r="D124" s="24" t="s">
        <v>286</v>
      </c>
      <c r="E124" s="95">
        <f>+('DOE25'!L287)+('DOE25'!L306)+('DOE25'!L325)</f>
        <v>27821.439999999999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1105922.8999999999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575511.84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13688849.699999999</v>
      </c>
      <c r="D128" s="86">
        <f>SUM(D118:D127)</f>
        <v>575511.84</v>
      </c>
      <c r="E128" s="86">
        <f>SUM(E118:E127)</f>
        <v>231346.06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0</v>
      </c>
      <c r="F130" s="129">
        <f>SUM('DOE25'!L374:'DOE25'!L380)</f>
        <v>523902.27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928878.1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324134.53000000003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35000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52918.15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114578.57999999999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-167496.72999999998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1253012.6299999999</v>
      </c>
      <c r="D144" s="141">
        <f>SUM(D130:D143)</f>
        <v>0</v>
      </c>
      <c r="E144" s="141">
        <f>SUM(E130:E143)</f>
        <v>0</v>
      </c>
      <c r="F144" s="141">
        <f>SUM(F130:F143)</f>
        <v>523902.27</v>
      </c>
      <c r="G144" s="141">
        <f>SUM(G130:G143)</f>
        <v>35000</v>
      </c>
    </row>
    <row r="145" spans="1:9" ht="12.75" thickTop="1" thickBot="1" x14ac:dyDescent="0.25">
      <c r="A145" s="33" t="s">
        <v>244</v>
      </c>
      <c r="C145" s="86">
        <f>(C115+C128+C144)</f>
        <v>38442757.869999997</v>
      </c>
      <c r="D145" s="86">
        <f>(D115+D128+D144)</f>
        <v>575511.84</v>
      </c>
      <c r="E145" s="86">
        <f>(E115+E128+E144)</f>
        <v>1264338.01</v>
      </c>
      <c r="F145" s="86">
        <f>(F115+F128+F144)</f>
        <v>523902.27</v>
      </c>
      <c r="G145" s="86">
        <f>(G115+G128+G144)</f>
        <v>35000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10</v>
      </c>
      <c r="D151" s="153">
        <f>'DOE25'!H490</f>
        <v>20</v>
      </c>
      <c r="E151" s="153">
        <f>'DOE25'!I490</f>
        <v>10</v>
      </c>
      <c r="F151" s="153">
        <f>'DOE25'!J490</f>
        <v>5</v>
      </c>
      <c r="G151" s="24" t="s">
        <v>286</v>
      </c>
    </row>
    <row r="152" spans="1:9" x14ac:dyDescent="0.2">
      <c r="A152" s="136" t="s">
        <v>28</v>
      </c>
      <c r="B152" s="152" t="str">
        <f>'DOE25'!F491</f>
        <v>01/00</v>
      </c>
      <c r="C152" s="152" t="str">
        <f>'DOE25'!G491</f>
        <v>07/13</v>
      </c>
      <c r="D152" s="152" t="str">
        <f>'DOE25'!H491</f>
        <v>Jan 2008</v>
      </c>
      <c r="E152" s="152" t="str">
        <f>'DOE25'!I491</f>
        <v>June 2017</v>
      </c>
      <c r="F152" s="152" t="str">
        <f>'DOE25'!J491</f>
        <v>Nov 2014</v>
      </c>
      <c r="G152" s="24" t="s">
        <v>286</v>
      </c>
    </row>
    <row r="153" spans="1:9" x14ac:dyDescent="0.2">
      <c r="A153" s="136" t="s">
        <v>29</v>
      </c>
      <c r="B153" s="152" t="str">
        <f>'DOE25'!F492</f>
        <v>01/20</v>
      </c>
      <c r="C153" s="152" t="str">
        <f>'DOE25'!G492</f>
        <v>08/23</v>
      </c>
      <c r="D153" s="152" t="str">
        <f>'DOE25'!H492</f>
        <v>Jan 2028</v>
      </c>
      <c r="E153" s="152" t="str">
        <f>'DOE25'!I492</f>
        <v>Aug 2027</v>
      </c>
      <c r="F153" s="152" t="str">
        <f>'DOE25'!J492</f>
        <v>Oct 2020</v>
      </c>
      <c r="G153" s="24" t="s">
        <v>286</v>
      </c>
    </row>
    <row r="154" spans="1:9" x14ac:dyDescent="0.2">
      <c r="A154" s="136" t="s">
        <v>30</v>
      </c>
      <c r="B154" s="137">
        <f>'DOE25'!F493</f>
        <v>10895000</v>
      </c>
      <c r="C154" s="137">
        <f>'DOE25'!G493</f>
        <v>1404300</v>
      </c>
      <c r="D154" s="137">
        <f>'DOE25'!H493</f>
        <v>4393500</v>
      </c>
      <c r="E154" s="137">
        <f>'DOE25'!I493</f>
        <v>2553500</v>
      </c>
      <c r="F154" s="137">
        <f>'DOE25'!J493</f>
        <v>123530</v>
      </c>
      <c r="G154" s="24" t="s">
        <v>286</v>
      </c>
    </row>
    <row r="155" spans="1:9" x14ac:dyDescent="0.2">
      <c r="A155" s="136" t="s">
        <v>31</v>
      </c>
      <c r="B155" s="137">
        <f>'DOE25'!F494</f>
        <v>5.58</v>
      </c>
      <c r="C155" s="137">
        <f>'DOE25'!G494</f>
        <v>5.0999999999999996</v>
      </c>
      <c r="D155" s="137">
        <f>'DOE25'!H494</f>
        <v>4.43</v>
      </c>
      <c r="E155" s="137">
        <f>'DOE25'!I494</f>
        <v>5.0999999999999996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1630000</v>
      </c>
      <c r="C156" s="137">
        <f>'DOE25'!G495</f>
        <v>980000</v>
      </c>
      <c r="D156" s="137">
        <f>'DOE25'!H495</f>
        <v>2415000</v>
      </c>
      <c r="E156" s="137">
        <f>'DOE25'!I495</f>
        <v>2553500</v>
      </c>
      <c r="F156" s="137">
        <f>'DOE25'!J495</f>
        <v>75749.98</v>
      </c>
      <c r="G156" s="138">
        <f>SUM(B156:F156)</f>
        <v>7654249.9800000004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545000</v>
      </c>
      <c r="C158" s="137">
        <f>'DOE25'!G497</f>
        <v>140000</v>
      </c>
      <c r="D158" s="137">
        <f>'DOE25'!H497</f>
        <v>220000</v>
      </c>
      <c r="E158" s="137">
        <f>'DOE25'!I497</f>
        <v>0</v>
      </c>
      <c r="F158" s="137">
        <f>'DOE25'!J497</f>
        <v>23878.1</v>
      </c>
      <c r="G158" s="138">
        <f t="shared" si="0"/>
        <v>928878.1</v>
      </c>
    </row>
    <row r="159" spans="1:9" x14ac:dyDescent="0.2">
      <c r="A159" s="22" t="s">
        <v>35</v>
      </c>
      <c r="B159" s="137">
        <f>'DOE25'!F498</f>
        <v>1085000</v>
      </c>
      <c r="C159" s="137">
        <f>'DOE25'!G498</f>
        <v>840000</v>
      </c>
      <c r="D159" s="137">
        <f>'DOE25'!H498</f>
        <v>2195000</v>
      </c>
      <c r="E159" s="137">
        <f>'DOE25'!I498</f>
        <v>2553500</v>
      </c>
      <c r="F159" s="137">
        <f>'DOE25'!J498</f>
        <v>51871.88</v>
      </c>
      <c r="G159" s="138">
        <f t="shared" si="0"/>
        <v>6725371.8799999999</v>
      </c>
    </row>
    <row r="160" spans="1:9" x14ac:dyDescent="0.2">
      <c r="A160" s="22" t="s">
        <v>36</v>
      </c>
      <c r="B160" s="137">
        <f>'DOE25'!F499</f>
        <v>93437.5</v>
      </c>
      <c r="C160" s="137">
        <f>'DOE25'!G499</f>
        <v>134470</v>
      </c>
      <c r="D160" s="137">
        <f>'DOE25'!H499</f>
        <v>514812.96</v>
      </c>
      <c r="E160" s="137">
        <f>'DOE25'!I499</f>
        <v>650339.25</v>
      </c>
      <c r="F160" s="137">
        <f>'DOE25'!J499</f>
        <v>3153.07</v>
      </c>
      <c r="G160" s="138">
        <f t="shared" si="0"/>
        <v>1396212.78</v>
      </c>
    </row>
    <row r="161" spans="1:7" x14ac:dyDescent="0.2">
      <c r="A161" s="22" t="s">
        <v>37</v>
      </c>
      <c r="B161" s="137">
        <f>'DOE25'!F500</f>
        <v>1178437.5</v>
      </c>
      <c r="C161" s="137">
        <f>'DOE25'!G500</f>
        <v>974470</v>
      </c>
      <c r="D161" s="137">
        <f>'DOE25'!H500</f>
        <v>2709812.96</v>
      </c>
      <c r="E161" s="137">
        <f>'DOE25'!I500</f>
        <v>3203839.25</v>
      </c>
      <c r="F161" s="137">
        <f>'DOE25'!J500</f>
        <v>55024.95</v>
      </c>
      <c r="G161" s="138">
        <f t="shared" si="0"/>
        <v>8121584.6600000001</v>
      </c>
    </row>
    <row r="162" spans="1:7" x14ac:dyDescent="0.2">
      <c r="A162" s="22" t="s">
        <v>38</v>
      </c>
      <c r="B162" s="137">
        <f>'DOE25'!F501</f>
        <v>545000</v>
      </c>
      <c r="C162" s="137">
        <f>'DOE25'!G501</f>
        <v>140000</v>
      </c>
      <c r="D162" s="137">
        <f>'DOE25'!H501</f>
        <v>220000</v>
      </c>
      <c r="E162" s="137">
        <f>'DOE25'!I501</f>
        <v>258500</v>
      </c>
      <c r="F162" s="137">
        <f>'DOE25'!J501</f>
        <v>24726.83</v>
      </c>
      <c r="G162" s="138">
        <f t="shared" si="0"/>
        <v>1188226.83</v>
      </c>
    </row>
    <row r="163" spans="1:7" x14ac:dyDescent="0.2">
      <c r="A163" s="22" t="s">
        <v>39</v>
      </c>
      <c r="B163" s="137">
        <f>'DOE25'!F502</f>
        <v>62387.5</v>
      </c>
      <c r="C163" s="137">
        <f>'DOE25'!G502</f>
        <v>41020</v>
      </c>
      <c r="D163" s="137">
        <f>'DOE25'!H502</f>
        <v>93556.26</v>
      </c>
      <c r="E163" s="137">
        <f>'DOE25'!I502</f>
        <v>123636.75</v>
      </c>
      <c r="F163" s="137">
        <f>'DOE25'!J502</f>
        <v>1785.6599999999999</v>
      </c>
      <c r="G163" s="138">
        <f t="shared" si="0"/>
        <v>322386.17</v>
      </c>
    </row>
    <row r="164" spans="1:7" x14ac:dyDescent="0.2">
      <c r="A164" s="22" t="s">
        <v>246</v>
      </c>
      <c r="B164" s="137">
        <f>'DOE25'!F503</f>
        <v>607387.5</v>
      </c>
      <c r="C164" s="137">
        <f>'DOE25'!G503</f>
        <v>181020</v>
      </c>
      <c r="D164" s="137">
        <f>'DOE25'!H503</f>
        <v>313556.26</v>
      </c>
      <c r="E164" s="137">
        <f>'DOE25'!I503</f>
        <v>382136.75</v>
      </c>
      <c r="F164" s="137">
        <f>'DOE25'!J503</f>
        <v>26512.49</v>
      </c>
      <c r="G164" s="138">
        <f t="shared" si="0"/>
        <v>1510613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C7" sqref="C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Milford School District SAU #40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16151</v>
      </c>
    </row>
    <row r="5" spans="1:4" x14ac:dyDescent="0.2">
      <c r="B5" t="s">
        <v>698</v>
      </c>
      <c r="C5" s="179">
        <f>IF('DOE25'!G665+'DOE25'!G670=0,0,ROUND('DOE25'!G672,0))</f>
        <v>16006</v>
      </c>
    </row>
    <row r="6" spans="1:4" x14ac:dyDescent="0.2">
      <c r="B6" t="s">
        <v>62</v>
      </c>
      <c r="C6" s="179">
        <f>IF('DOE25'!H665+'DOE25'!H670=0,0,ROUND('DOE25'!H672,0))</f>
        <v>15827</v>
      </c>
    </row>
    <row r="7" spans="1:4" x14ac:dyDescent="0.2">
      <c r="B7" t="s">
        <v>699</v>
      </c>
      <c r="C7" s="179">
        <f>IF('DOE25'!I665+'DOE25'!I670=0,0,ROUND('DOE25'!I672,0))</f>
        <v>15994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15859376</v>
      </c>
      <c r="D10" s="182">
        <f>ROUND((C10/$C$28)*100,1)</f>
        <v>40.700000000000003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6946638</v>
      </c>
      <c r="D11" s="182">
        <f>ROUND((C11/$C$28)*100,1)</f>
        <v>17.8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1257098</v>
      </c>
      <c r="D12" s="182">
        <f>ROUND((C12/$C$28)*100,1)</f>
        <v>3.2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470776</v>
      </c>
      <c r="D13" s="182">
        <f>ROUND((C13/$C$28)*100,1)</f>
        <v>1.2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3229675</v>
      </c>
      <c r="D15" s="182">
        <f t="shared" ref="D15:D27" si="0">ROUND((C15/$C$28)*100,1)</f>
        <v>8.3000000000000007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660331</v>
      </c>
      <c r="D16" s="182">
        <f t="shared" si="0"/>
        <v>1.7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3473176</v>
      </c>
      <c r="D17" s="182">
        <f t="shared" si="0"/>
        <v>8.9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2026053</v>
      </c>
      <c r="D18" s="182">
        <f t="shared" si="0"/>
        <v>5.2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3252718</v>
      </c>
      <c r="D20" s="182">
        <f t="shared" si="0"/>
        <v>8.3000000000000007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1278242</v>
      </c>
      <c r="D21" s="182">
        <f t="shared" si="0"/>
        <v>3.3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324135</v>
      </c>
      <c r="D25" s="182">
        <f t="shared" si="0"/>
        <v>0.8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192782.37</v>
      </c>
      <c r="D27" s="182">
        <f t="shared" si="0"/>
        <v>0.5</v>
      </c>
    </row>
    <row r="28" spans="1:4" x14ac:dyDescent="0.2">
      <c r="B28" s="187" t="s">
        <v>717</v>
      </c>
      <c r="C28" s="180">
        <f>SUM(C10:C27)</f>
        <v>38971000.369999997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523902</v>
      </c>
    </row>
    <row r="30" spans="1:4" x14ac:dyDescent="0.2">
      <c r="B30" s="187" t="s">
        <v>723</v>
      </c>
      <c r="C30" s="180">
        <f>SUM(C28:C29)</f>
        <v>39494902.369999997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928878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25996113</v>
      </c>
      <c r="D35" s="182">
        <f t="shared" ref="D35:D40" si="1">ROUND((C35/$C$41)*100,1)</f>
        <v>63.7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2190435.1900000013</v>
      </c>
      <c r="D36" s="182">
        <f t="shared" si="1"/>
        <v>5.4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10303850</v>
      </c>
      <c r="D37" s="182">
        <f t="shared" si="1"/>
        <v>25.2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619647</v>
      </c>
      <c r="D38" s="182">
        <f t="shared" si="1"/>
        <v>1.5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1722671</v>
      </c>
      <c r="D39" s="182">
        <f t="shared" si="1"/>
        <v>4.2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40832716.189999998</v>
      </c>
      <c r="D41" s="184">
        <f>SUM(D35:D40)</f>
        <v>100.00000000000001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2553500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764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761</v>
      </c>
      <c r="B2" s="295"/>
      <c r="C2" s="295"/>
      <c r="D2" s="295"/>
      <c r="E2" s="295"/>
      <c r="F2" s="292" t="str">
        <f>'DOE25'!A2</f>
        <v>Milford School District SAU #40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0" t="s">
        <v>765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842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9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Welch, Matthew</cp:lastModifiedBy>
  <cp:lastPrinted>2018-08-27T11:30:05Z</cp:lastPrinted>
  <dcterms:created xsi:type="dcterms:W3CDTF">1997-12-04T19:04:30Z</dcterms:created>
  <dcterms:modified xsi:type="dcterms:W3CDTF">2018-12-03T19:45:33Z</dcterms:modified>
</cp:coreProperties>
</file>