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-15" yWindow="6165" windowWidth="25230" windowHeight="621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10" i="12" l="1"/>
  <c r="C37" i="12"/>
  <c r="C39" i="12"/>
  <c r="C28" i="12"/>
  <c r="C21" i="12"/>
  <c r="C11" i="12"/>
  <c r="C12" i="12"/>
  <c r="C19" i="12" l="1"/>
  <c r="C38" i="12"/>
  <c r="C20" i="12"/>
  <c r="B37" i="12"/>
  <c r="B20" i="12"/>
  <c r="B10" i="12"/>
  <c r="B38" i="12"/>
  <c r="B39" i="12"/>
  <c r="B21" i="12"/>
  <c r="B19" i="12"/>
  <c r="B12" i="12"/>
  <c r="B11" i="12"/>
  <c r="H244" i="1"/>
  <c r="H226" i="1"/>
  <c r="G226" i="1"/>
  <c r="G244" i="1"/>
  <c r="F244" i="1"/>
  <c r="F226" i="1"/>
  <c r="K244" i="1"/>
  <c r="K226" i="1"/>
  <c r="J244" i="1"/>
  <c r="J226" i="1"/>
  <c r="I244" i="1"/>
  <c r="I226" i="1"/>
  <c r="J594" i="1"/>
  <c r="I591" i="1"/>
  <c r="I594" i="1"/>
  <c r="G613" i="1" l="1"/>
  <c r="F613" i="1"/>
  <c r="G612" i="1"/>
  <c r="F612" i="1"/>
  <c r="H612" i="1"/>
  <c r="G611" i="1"/>
  <c r="F611" i="1"/>
  <c r="H604" i="1" l="1"/>
  <c r="J595" i="1"/>
  <c r="I595" i="1" l="1"/>
  <c r="J593" i="1"/>
  <c r="J592" i="1" l="1"/>
  <c r="I592" i="1"/>
  <c r="H591" i="1" l="1"/>
  <c r="H592" i="1"/>
  <c r="G582" i="1" l="1"/>
  <c r="G523" i="1"/>
  <c r="G522" i="1"/>
  <c r="G532" i="1"/>
  <c r="G533" i="1"/>
  <c r="G521" i="1"/>
  <c r="G531" i="1"/>
  <c r="J523" i="1"/>
  <c r="H528" i="1"/>
  <c r="K523" i="1"/>
  <c r="I523" i="1"/>
  <c r="H523" i="1"/>
  <c r="H527" i="1"/>
  <c r="H526" i="1"/>
  <c r="F523" i="1"/>
  <c r="F521" i="1"/>
  <c r="H522" i="1"/>
  <c r="I522" i="1"/>
  <c r="F522" i="1"/>
  <c r="K521" i="1"/>
  <c r="H521" i="1"/>
  <c r="J521" i="1"/>
  <c r="I521" i="1"/>
  <c r="F502" i="1"/>
  <c r="F499" i="1"/>
  <c r="J469" i="1"/>
  <c r="G440" i="1"/>
  <c r="H360" i="1" l="1"/>
  <c r="H320" i="1" l="1"/>
  <c r="H315" i="1"/>
  <c r="G320" i="1"/>
  <c r="F320" i="1"/>
  <c r="I282" i="1"/>
  <c r="K222" i="1" l="1"/>
  <c r="K205" i="1"/>
  <c r="G243" i="1"/>
  <c r="K240" i="1"/>
  <c r="K243" i="1"/>
  <c r="K225" i="1"/>
  <c r="J243" i="1"/>
  <c r="J225" i="1"/>
  <c r="J245" i="1"/>
  <c r="J227" i="1"/>
  <c r="I245" i="1"/>
  <c r="I227" i="1"/>
  <c r="I238" i="1"/>
  <c r="I243" i="1"/>
  <c r="I225" i="1"/>
  <c r="H243" i="1"/>
  <c r="H225" i="1"/>
  <c r="G225" i="1"/>
  <c r="G241" i="1"/>
  <c r="G240" i="1"/>
  <c r="G239" i="1"/>
  <c r="G238" i="1"/>
  <c r="G236" i="1"/>
  <c r="G235" i="1"/>
  <c r="G234" i="1"/>
  <c r="G233" i="1"/>
  <c r="G223" i="1"/>
  <c r="G222" i="1"/>
  <c r="G221" i="1"/>
  <c r="G220" i="1"/>
  <c r="G218" i="1"/>
  <c r="G216" i="1"/>
  <c r="G215" i="1"/>
  <c r="G208" i="1"/>
  <c r="G207" i="1"/>
  <c r="G205" i="1"/>
  <c r="G204" i="1"/>
  <c r="G203" i="1"/>
  <c r="G202" i="1"/>
  <c r="G200" i="1"/>
  <c r="G198" i="1"/>
  <c r="G197" i="1"/>
  <c r="F243" i="1"/>
  <c r="F225" i="1"/>
  <c r="F238" i="1"/>
  <c r="I220" i="1"/>
  <c r="H222" i="1"/>
  <c r="H221" i="1"/>
  <c r="H220" i="1"/>
  <c r="H216" i="1"/>
  <c r="F220" i="1"/>
  <c r="I202" i="1"/>
  <c r="H208" i="1"/>
  <c r="H202" i="1"/>
  <c r="H198" i="1"/>
  <c r="F202" i="1" l="1"/>
  <c r="H155" i="1"/>
  <c r="H159" i="1"/>
  <c r="H154" i="1"/>
  <c r="H24" i="1"/>
  <c r="F50" i="1"/>
  <c r="F14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22" i="2" s="1"/>
  <c r="L224" i="1"/>
  <c r="L242" i="1"/>
  <c r="F16" i="13"/>
  <c r="G16" i="13"/>
  <c r="L209" i="1"/>
  <c r="L227" i="1"/>
  <c r="L245" i="1"/>
  <c r="C125" i="2" s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G650" i="1" s="1"/>
  <c r="L244" i="1"/>
  <c r="G651" i="1" s="1"/>
  <c r="F17" i="13"/>
  <c r="G17" i="13"/>
  <c r="L251" i="1"/>
  <c r="F18" i="13"/>
  <c r="G18" i="13"/>
  <c r="L252" i="1"/>
  <c r="D18" i="13" s="1"/>
  <c r="C18" i="13" s="1"/>
  <c r="F19" i="13"/>
  <c r="G19" i="13"/>
  <c r="L253" i="1"/>
  <c r="D19" i="13" s="1"/>
  <c r="C19" i="13" s="1"/>
  <c r="F29" i="13"/>
  <c r="G29" i="13"/>
  <c r="L358" i="1"/>
  <c r="L359" i="1"/>
  <c r="L360" i="1"/>
  <c r="D29" i="13" s="1"/>
  <c r="C29" i="13" s="1"/>
  <c r="I367" i="1"/>
  <c r="J290" i="1"/>
  <c r="J309" i="1"/>
  <c r="J328" i="1"/>
  <c r="K290" i="1"/>
  <c r="K309" i="1"/>
  <c r="K328" i="1"/>
  <c r="L276" i="1"/>
  <c r="L290" i="1" s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E122" i="2" s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C25" i="10" s="1"/>
  <c r="L341" i="1"/>
  <c r="L342" i="1"/>
  <c r="L255" i="1"/>
  <c r="F22" i="13" s="1"/>
  <c r="C22" i="13" s="1"/>
  <c r="L336" i="1"/>
  <c r="E130" i="2" s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A31" i="12" s="1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401" i="1" s="1"/>
  <c r="C139" i="2" s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56" i="2" s="1"/>
  <c r="F79" i="1"/>
  <c r="C57" i="2" s="1"/>
  <c r="F94" i="1"/>
  <c r="F111" i="1"/>
  <c r="G111" i="1"/>
  <c r="G112" i="1" s="1"/>
  <c r="H79" i="1"/>
  <c r="E57" i="2" s="1"/>
  <c r="E62" i="2" s="1"/>
  <c r="E63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J140" i="1" s="1"/>
  <c r="F147" i="1"/>
  <c r="C85" i="2" s="1"/>
  <c r="F162" i="1"/>
  <c r="G147" i="1"/>
  <c r="G162" i="1"/>
  <c r="H147" i="1"/>
  <c r="E85" i="2" s="1"/>
  <c r="H162" i="1"/>
  <c r="I147" i="1"/>
  <c r="I162" i="1"/>
  <c r="I169" i="1" s="1"/>
  <c r="C11" i="10"/>
  <c r="L250" i="1"/>
  <c r="L332" i="1"/>
  <c r="L254" i="1"/>
  <c r="L268" i="1"/>
  <c r="L269" i="1"/>
  <c r="C143" i="2" s="1"/>
  <c r="L349" i="1"/>
  <c r="L350" i="1"/>
  <c r="I665" i="1"/>
  <c r="I670" i="1"/>
  <c r="G662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L526" i="1"/>
  <c r="L527" i="1"/>
  <c r="G550" i="1" s="1"/>
  <c r="L528" i="1"/>
  <c r="G551" i="1" s="1"/>
  <c r="L531" i="1"/>
  <c r="H549" i="1" s="1"/>
  <c r="L532" i="1"/>
  <c r="H550" i="1" s="1"/>
  <c r="H552" i="1" s="1"/>
  <c r="L533" i="1"/>
  <c r="H551" i="1" s="1"/>
  <c r="L536" i="1"/>
  <c r="I549" i="1" s="1"/>
  <c r="I552" i="1" s="1"/>
  <c r="L537" i="1"/>
  <c r="I550" i="1" s="1"/>
  <c r="L538" i="1"/>
  <c r="I551" i="1" s="1"/>
  <c r="L541" i="1"/>
  <c r="J549" i="1" s="1"/>
  <c r="L542" i="1"/>
  <c r="J550" i="1" s="1"/>
  <c r="L543" i="1"/>
  <c r="E132" i="2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D18" i="2" s="1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D56" i="2"/>
  <c r="E56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D85" i="2"/>
  <c r="F85" i="2"/>
  <c r="C87" i="2"/>
  <c r="E87" i="2"/>
  <c r="F87" i="2"/>
  <c r="C88" i="2"/>
  <c r="C91" i="2" s="1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C112" i="2"/>
  <c r="C113" i="2"/>
  <c r="E113" i="2"/>
  <c r="D115" i="2"/>
  <c r="F115" i="2"/>
  <c r="G115" i="2"/>
  <c r="E119" i="2"/>
  <c r="E120" i="2"/>
  <c r="E123" i="2"/>
  <c r="F128" i="2"/>
  <c r="G128" i="2"/>
  <c r="F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G157" i="2" s="1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I51" i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634" i="1" s="1"/>
  <c r="J362" i="1"/>
  <c r="K362" i="1"/>
  <c r="I368" i="1"/>
  <c r="F369" i="1"/>
  <c r="G369" i="1"/>
  <c r="H369" i="1"/>
  <c r="I369" i="1"/>
  <c r="L381" i="1"/>
  <c r="L382" i="1" s="1"/>
  <c r="G636" i="1" s="1"/>
  <c r="J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L433" i="1" s="1"/>
  <c r="F433" i="1"/>
  <c r="G433" i="1"/>
  <c r="H433" i="1"/>
  <c r="I433" i="1"/>
  <c r="J433" i="1"/>
  <c r="F446" i="1"/>
  <c r="G639" i="1" s="1"/>
  <c r="G446" i="1"/>
  <c r="G640" i="1" s="1"/>
  <c r="H446" i="1"/>
  <c r="F452" i="1"/>
  <c r="G452" i="1"/>
  <c r="H452" i="1"/>
  <c r="F460" i="1"/>
  <c r="G460" i="1"/>
  <c r="G461" i="1" s="1"/>
  <c r="H640" i="1" s="1"/>
  <c r="H460" i="1"/>
  <c r="F461" i="1"/>
  <c r="H639" i="1" s="1"/>
  <c r="H461" i="1"/>
  <c r="H641" i="1" s="1"/>
  <c r="F470" i="1"/>
  <c r="G470" i="1"/>
  <c r="H470" i="1"/>
  <c r="H476" i="1" s="1"/>
  <c r="H624" i="1" s="1"/>
  <c r="J624" i="1" s="1"/>
  <c r="I470" i="1"/>
  <c r="I476" i="1" s="1"/>
  <c r="H625" i="1" s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I545" i="1" s="1"/>
  <c r="J524" i="1"/>
  <c r="K524" i="1"/>
  <c r="F529" i="1"/>
  <c r="G529" i="1"/>
  <c r="H529" i="1"/>
  <c r="I529" i="1"/>
  <c r="J529" i="1"/>
  <c r="K529" i="1"/>
  <c r="K545" i="1" s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22" i="1"/>
  <c r="G623" i="1"/>
  <c r="G624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41" i="1"/>
  <c r="G643" i="1"/>
  <c r="H643" i="1"/>
  <c r="G644" i="1"/>
  <c r="G652" i="1"/>
  <c r="H652" i="1"/>
  <c r="G653" i="1"/>
  <c r="H653" i="1"/>
  <c r="G654" i="1"/>
  <c r="H654" i="1"/>
  <c r="H655" i="1"/>
  <c r="F192" i="1"/>
  <c r="C26" i="10"/>
  <c r="L328" i="1"/>
  <c r="D91" i="2"/>
  <c r="G62" i="2"/>
  <c r="J571" i="1"/>
  <c r="L419" i="1"/>
  <c r="J644" i="1"/>
  <c r="J476" i="1"/>
  <c r="H626" i="1" s="1"/>
  <c r="G476" i="1"/>
  <c r="H623" i="1" s="1"/>
  <c r="J623" i="1" s="1"/>
  <c r="F571" i="1"/>
  <c r="G22" i="2"/>
  <c r="H140" i="1"/>
  <c r="H571" i="1"/>
  <c r="H338" i="1"/>
  <c r="H352" i="1" s="1"/>
  <c r="H192" i="1"/>
  <c r="L570" i="1"/>
  <c r="I571" i="1"/>
  <c r="L565" i="1"/>
  <c r="A40" i="12" l="1"/>
  <c r="F476" i="1"/>
  <c r="H622" i="1" s="1"/>
  <c r="J622" i="1" s="1"/>
  <c r="E78" i="2"/>
  <c r="E81" i="2" s="1"/>
  <c r="G156" i="2"/>
  <c r="D81" i="2"/>
  <c r="G161" i="2"/>
  <c r="E103" i="2"/>
  <c r="G81" i="2"/>
  <c r="F78" i="2"/>
  <c r="D31" i="2"/>
  <c r="D51" i="2" s="1"/>
  <c r="E31" i="2"/>
  <c r="J651" i="1"/>
  <c r="H545" i="1"/>
  <c r="G545" i="1"/>
  <c r="K550" i="1"/>
  <c r="J545" i="1"/>
  <c r="L534" i="1"/>
  <c r="J640" i="1"/>
  <c r="J639" i="1"/>
  <c r="G661" i="1"/>
  <c r="H661" i="1"/>
  <c r="K338" i="1"/>
  <c r="K352" i="1" s="1"/>
  <c r="E124" i="2"/>
  <c r="F338" i="1"/>
  <c r="F352" i="1" s="1"/>
  <c r="E118" i="2"/>
  <c r="L309" i="1"/>
  <c r="L338" i="1" s="1"/>
  <c r="L352" i="1" s="1"/>
  <c r="G633" i="1" s="1"/>
  <c r="J633" i="1" s="1"/>
  <c r="G338" i="1"/>
  <c r="G352" i="1" s="1"/>
  <c r="E109" i="2"/>
  <c r="L256" i="1"/>
  <c r="D7" i="13"/>
  <c r="C7" i="13" s="1"/>
  <c r="H662" i="1"/>
  <c r="E8" i="13"/>
  <c r="C8" i="13" s="1"/>
  <c r="I257" i="1"/>
  <c r="I271" i="1" s="1"/>
  <c r="G257" i="1"/>
  <c r="G271" i="1" s="1"/>
  <c r="F257" i="1"/>
  <c r="F271" i="1" s="1"/>
  <c r="C119" i="2"/>
  <c r="E16" i="13"/>
  <c r="J257" i="1"/>
  <c r="J271" i="1" s="1"/>
  <c r="H257" i="1"/>
  <c r="H271" i="1" s="1"/>
  <c r="C20" i="10"/>
  <c r="C110" i="2"/>
  <c r="C109" i="2"/>
  <c r="A13" i="12"/>
  <c r="D5" i="13"/>
  <c r="C5" i="13" s="1"/>
  <c r="C121" i="2"/>
  <c r="J645" i="1"/>
  <c r="G645" i="1"/>
  <c r="H169" i="1"/>
  <c r="H52" i="1"/>
  <c r="H619" i="1" s="1"/>
  <c r="J617" i="1"/>
  <c r="J641" i="1"/>
  <c r="F18" i="2"/>
  <c r="C35" i="10"/>
  <c r="C56" i="2"/>
  <c r="C21" i="10"/>
  <c r="H647" i="1"/>
  <c r="F662" i="1"/>
  <c r="C124" i="2"/>
  <c r="G649" i="1"/>
  <c r="J649" i="1" s="1"/>
  <c r="D15" i="13"/>
  <c r="C15" i="13" s="1"/>
  <c r="C118" i="2"/>
  <c r="D6" i="13"/>
  <c r="C6" i="13" s="1"/>
  <c r="C12" i="10"/>
  <c r="C111" i="2"/>
  <c r="F112" i="1"/>
  <c r="D12" i="13"/>
  <c r="C12" i="13" s="1"/>
  <c r="L427" i="1"/>
  <c r="C114" i="2"/>
  <c r="F661" i="1"/>
  <c r="I661" i="1" s="1"/>
  <c r="C19" i="10"/>
  <c r="C10" i="10"/>
  <c r="L393" i="1"/>
  <c r="C138" i="2" s="1"/>
  <c r="C130" i="2"/>
  <c r="C29" i="10"/>
  <c r="E125" i="2"/>
  <c r="E121" i="2"/>
  <c r="E128" i="2" s="1"/>
  <c r="E112" i="2"/>
  <c r="C13" i="10"/>
  <c r="D127" i="2"/>
  <c r="D128" i="2" s="1"/>
  <c r="D145" i="2" s="1"/>
  <c r="D17" i="13"/>
  <c r="C17" i="13" s="1"/>
  <c r="D14" i="13"/>
  <c r="C14" i="13" s="1"/>
  <c r="C18" i="10"/>
  <c r="L247" i="1"/>
  <c r="H660" i="1" s="1"/>
  <c r="H664" i="1" s="1"/>
  <c r="C120" i="2"/>
  <c r="J655" i="1"/>
  <c r="F169" i="1"/>
  <c r="H112" i="1"/>
  <c r="E13" i="13"/>
  <c r="C13" i="13" s="1"/>
  <c r="J643" i="1"/>
  <c r="I52" i="1"/>
  <c r="H620" i="1" s="1"/>
  <c r="G625" i="1"/>
  <c r="G164" i="2"/>
  <c r="C78" i="2"/>
  <c r="C132" i="2"/>
  <c r="G549" i="1"/>
  <c r="L529" i="1"/>
  <c r="L211" i="1"/>
  <c r="F660" i="1" s="1"/>
  <c r="C16" i="10"/>
  <c r="L351" i="1"/>
  <c r="L229" i="1"/>
  <c r="G660" i="1" s="1"/>
  <c r="G664" i="1" s="1"/>
  <c r="G667" i="1" s="1"/>
  <c r="C17" i="10"/>
  <c r="H25" i="13"/>
  <c r="K598" i="1"/>
  <c r="G647" i="1" s="1"/>
  <c r="K571" i="1"/>
  <c r="L560" i="1"/>
  <c r="K500" i="1"/>
  <c r="J625" i="1"/>
  <c r="I460" i="1"/>
  <c r="I452" i="1"/>
  <c r="I446" i="1"/>
  <c r="G642" i="1" s="1"/>
  <c r="K257" i="1"/>
  <c r="K271" i="1" s="1"/>
  <c r="C123" i="2"/>
  <c r="F81" i="2"/>
  <c r="C70" i="2"/>
  <c r="C62" i="2"/>
  <c r="C18" i="2"/>
  <c r="L270" i="1"/>
  <c r="J551" i="1"/>
  <c r="J552" i="1" s="1"/>
  <c r="L544" i="1"/>
  <c r="F551" i="1"/>
  <c r="L524" i="1"/>
  <c r="C32" i="10"/>
  <c r="C15" i="10"/>
  <c r="J338" i="1"/>
  <c r="J352" i="1" s="1"/>
  <c r="L614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L571" i="1"/>
  <c r="I192" i="1"/>
  <c r="E91" i="2"/>
  <c r="E104" i="2" s="1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H193" i="1"/>
  <c r="G629" i="1" s="1"/>
  <c r="J629" i="1" s="1"/>
  <c r="G169" i="1"/>
  <c r="G140" i="1"/>
  <c r="F140" i="1"/>
  <c r="G63" i="2"/>
  <c r="J618" i="1"/>
  <c r="G42" i="2"/>
  <c r="G50" i="2" s="1"/>
  <c r="G51" i="2" s="1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J652" i="1"/>
  <c r="G571" i="1"/>
  <c r="I434" i="1"/>
  <c r="G434" i="1"/>
  <c r="I663" i="1"/>
  <c r="C27" i="10"/>
  <c r="G635" i="1"/>
  <c r="J635" i="1" s="1"/>
  <c r="I662" i="1" l="1"/>
  <c r="F104" i="2"/>
  <c r="E51" i="2"/>
  <c r="C141" i="2"/>
  <c r="C144" i="2" s="1"/>
  <c r="D31" i="13"/>
  <c r="C31" i="13" s="1"/>
  <c r="E115" i="2"/>
  <c r="J647" i="1"/>
  <c r="E33" i="13"/>
  <c r="D35" i="13" s="1"/>
  <c r="C16" i="13"/>
  <c r="C115" i="2"/>
  <c r="C28" i="10"/>
  <c r="D19" i="10" s="1"/>
  <c r="C81" i="2"/>
  <c r="G104" i="2"/>
  <c r="C39" i="10"/>
  <c r="C36" i="10"/>
  <c r="C63" i="2"/>
  <c r="H672" i="1"/>
  <c r="C6" i="10" s="1"/>
  <c r="H667" i="1"/>
  <c r="F664" i="1"/>
  <c r="I660" i="1"/>
  <c r="E145" i="2"/>
  <c r="C128" i="2"/>
  <c r="L257" i="1"/>
  <c r="L271" i="1" s="1"/>
  <c r="G632" i="1" s="1"/>
  <c r="J632" i="1" s="1"/>
  <c r="F552" i="1"/>
  <c r="K551" i="1"/>
  <c r="H648" i="1"/>
  <c r="J648" i="1" s="1"/>
  <c r="G672" i="1"/>
  <c r="C5" i="10" s="1"/>
  <c r="K549" i="1"/>
  <c r="G552" i="1"/>
  <c r="F193" i="1"/>
  <c r="G627" i="1" s="1"/>
  <c r="J627" i="1" s="1"/>
  <c r="L408" i="1"/>
  <c r="L545" i="1"/>
  <c r="I461" i="1"/>
  <c r="H642" i="1" s="1"/>
  <c r="J642" i="1" s="1"/>
  <c r="C25" i="13"/>
  <c r="H33" i="13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C104" i="2" l="1"/>
  <c r="I664" i="1"/>
  <c r="I672" i="1" s="1"/>
  <c r="C7" i="10" s="1"/>
  <c r="K552" i="1"/>
  <c r="D33" i="13"/>
  <c r="D36" i="13" s="1"/>
  <c r="C145" i="2"/>
  <c r="D18" i="10"/>
  <c r="D23" i="10"/>
  <c r="D11" i="10"/>
  <c r="D21" i="10"/>
  <c r="D10" i="10"/>
  <c r="D24" i="10"/>
  <c r="D27" i="10"/>
  <c r="C30" i="10"/>
  <c r="D22" i="10"/>
  <c r="D26" i="10"/>
  <c r="D12" i="10"/>
  <c r="D13" i="10"/>
  <c r="D17" i="10"/>
  <c r="D16" i="10"/>
  <c r="D20" i="10"/>
  <c r="D15" i="10"/>
  <c r="D25" i="10"/>
  <c r="F672" i="1"/>
  <c r="C4" i="10" s="1"/>
  <c r="F667" i="1"/>
  <c r="G637" i="1"/>
  <c r="J637" i="1" s="1"/>
  <c r="H646" i="1"/>
  <c r="J646" i="1" s="1"/>
  <c r="I667" i="1"/>
  <c r="C41" i="10"/>
  <c r="D38" i="10" s="1"/>
  <c r="D28" i="10" l="1"/>
  <c r="H656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<sst xmlns="http://schemas.openxmlformats.org/spreadsheetml/2006/main" count="3961" uniqueCount="917">
  <si>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</si>
  <si>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</si>
  <si>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</si>
  <si>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</si>
  <si>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</si>
  <si>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</si>
  <si>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</si>
  <si>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</si>
  <si>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</si>
  <si>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</si>
  <si>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</si>
  <si>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</si>
  <si>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</si>
  <si>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</si>
  <si>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</si>
  <si>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</si>
  <si>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</si>
  <si>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</si>
  <si>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</si>
  <si>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</si>
  <si>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</si>
  <si>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</si>
  <si>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</si>
  <si>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</si>
  <si>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</si>
  <si>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</si>
  <si>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</si>
  <si>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</si>
  <si>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</si>
  <si>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</si>
  <si>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</si>
  <si>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</si>
  <si>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</si>
  <si>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</si>
  <si>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</si>
  <si>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</si>
  <si>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</si>
  <si>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</si>
  <si>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</si>
  <si>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</si>
  <si>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</si>
  <si>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</si>
  <si>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</si>
  <si>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</si>
  <si>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</si>
  <si>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</si>
  <si>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</si>
  <si>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</si>
  <si>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</si>
  <si>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</si>
  <si>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</si>
  <si>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</si>
  <si>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</si>
  <si>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</si>
  <si>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</si>
  <si>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</si>
  <si>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</si>
  <si>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</si>
  <si>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</si>
  <si>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</si>
  <si>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</si>
  <si>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</si>
  <si>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</si>
  <si>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</si>
  <si>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</si>
  <si>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</si>
  <si>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</si>
  <si>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</si>
  <si>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</si>
  <si>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</si>
  <si>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</si>
  <si>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</si>
  <si>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</si>
  <si>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</si>
  <si>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</si>
  <si>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</si>
  <si>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</si>
  <si>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</si>
  <si>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</si>
  <si>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</si>
  <si>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</si>
  <si>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</si>
  <si>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</si>
  <si>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</si>
  <si>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</si>
  <si>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</si>
  <si>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</si>
  <si>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</si>
  <si>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</si>
  <si>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</si>
  <si>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</si>
  <si>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</si>
  <si>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</si>
  <si>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</si>
  <si>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</si>
  <si>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</si>
  <si>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</si>
  <si>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</si>
  <si>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</si>
  <si>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</si>
  <si>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</si>
  <si>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</si>
  <si>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</si>
  <si>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</si>
  <si>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</si>
  <si>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</si>
  <si>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</si>
  <si>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</si>
  <si>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</si>
  <si>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</si>
  <si>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</si>
  <si>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</si>
  <si>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</si>
  <si>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</si>
  <si>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</si>
  <si>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</si>
  <si>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</si>
  <si>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</si>
  <si>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</si>
  <si>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</si>
  <si>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</si>
  <si>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</si>
  <si>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</si>
  <si>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</si>
  <si>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</si>
  <si>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</si>
  <si>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</si>
  <si>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</si>
  <si>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</si>
  <si>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</si>
  <si>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</si>
  <si>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</si>
  <si>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</si>
  <si>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</si>
  <si>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</si>
  <si>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</si>
  <si>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</si>
  <si>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</si>
  <si>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</si>
  <si>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</si>
  <si>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</si>
  <si>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</si>
  <si>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</si>
  <si>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</si>
  <si>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</si>
  <si>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</si>
  <si>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</si>
  <si>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</si>
  <si>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</si>
  <si>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</si>
  <si>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</si>
  <si>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</si>
  <si>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</si>
  <si>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</si>
  <si>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</si>
  <si>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</si>
  <si>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</si>
  <si>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</si>
  <si>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</si>
  <si>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</si>
  <si>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</si>
  <si>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</si>
  <si>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</si>
  <si>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</si>
  <si>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</si>
  <si>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</si>
  <si>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</si>
  <si>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</si>
  <si>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</si>
  <si>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</si>
  <si>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</si>
  <si>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</si>
  <si>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</si>
  <si>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</si>
  <si>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</si>
  <si>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</si>
  <si>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</si>
  <si>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</si>
  <si>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</si>
  <si>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</si>
  <si>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</si>
  <si>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</si>
  <si>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</si>
  <si>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</si>
  <si>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</si>
  <si>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</si>
  <si>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</si>
  <si>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</si>
  <si>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</si>
  <si>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</si>
  <si>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</si>
  <si>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</si>
  <si>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</si>
  <si>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</si>
  <si>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</si>
  <si>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</si>
  <si>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</si>
  <si>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</si>
  <si>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</si>
  <si>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</si>
  <si>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</si>
  <si>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</si>
  <si>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</si>
  <si>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</si>
  <si>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</si>
  <si>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</si>
  <si>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</si>
  <si>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</si>
  <si>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</si>
  <si>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</si>
  <si>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</si>
  <si>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</si>
  <si>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</si>
  <si>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</si>
  <si>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</si>
  <si>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</si>
  <si>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</si>
  <si>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</si>
  <si>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</si>
  <si>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</si>
  <si>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</si>
  <si>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</si>
  <si>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</si>
  <si>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</si>
  <si>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</si>
  <si>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</si>
  <si>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</si>
  <si>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</si>
  <si>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</si>
  <si>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</si>
  <si>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</si>
  <si>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</si>
  <si>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</si>
  <si>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</si>
  <si>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</si>
  <si>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</si>
  <si>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</si>
  <si>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</si>
  <si>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</si>
  <si>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</si>
  <si>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</si>
  <si>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</si>
  <si>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</si>
  <si>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</si>
  <si>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</si>
  <si>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</si>
  <si>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</si>
  <si>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</si>
  <si>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</si>
  <si>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</si>
  <si>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</si>
  <si>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</si>
  <si>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</si>
  <si>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</si>
  <si>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</si>
  <si>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</si>
  <si>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</si>
  <si>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</si>
  <si>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</si>
  <si>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</si>
  <si>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</si>
  <si>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</si>
  <si>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</si>
  <si>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</si>
  <si>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</si>
  <si>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</si>
  <si>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</si>
  <si>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</si>
  <si>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</si>
  <si>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</si>
  <si>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</si>
  <si>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</si>
  <si>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</si>
  <si>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</si>
  <si>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</si>
  <si>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</si>
  <si>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</si>
  <si>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</si>
  <si>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</si>
  <si>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</si>
  <si>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</si>
  <si>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</si>
  <si>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</si>
  <si>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</si>
  <si>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</si>
  <si>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</si>
  <si>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</si>
  <si>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</si>
  <si>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</si>
  <si>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</si>
  <si>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</si>
  <si>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</si>
  <si>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</si>
  <si>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</si>
  <si>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</si>
  <si>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</si>
  <si>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</si>
  <si>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</si>
  <si>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</si>
  <si>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</si>
  <si>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</si>
  <si>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</si>
  <si>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</si>
  <si>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</si>
  <si>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</si>
  <si>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</si>
  <si>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</si>
  <si>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</si>
  <si>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</si>
  <si>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</si>
  <si>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</si>
  <si>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</si>
  <si>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</si>
  <si>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</si>
  <si>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</si>
  <si>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</si>
  <si>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</si>
  <si>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</si>
  <si>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</si>
  <si>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</si>
  <si>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</si>
  <si>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</si>
  <si>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</si>
  <si>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</si>
  <si>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</si>
  <si>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</si>
  <si>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</si>
  <si>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</si>
  <si>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</si>
  <si>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</si>
  <si>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</si>
  <si>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</si>
  <si>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</si>
  <si>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</si>
  <si>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</si>
  <si>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</si>
  <si>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</si>
  <si>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</si>
  <si>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</si>
  <si>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</si>
  <si>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</si>
  <si>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</si>
  <si>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</si>
  <si>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</si>
  <si>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</si>
  <si>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</si>
  <si>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</si>
  <si>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</si>
  <si>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</si>
  <si>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</si>
  <si>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</si>
  <si>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</si>
  <si>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</si>
  <si>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</si>
  <si>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</si>
  <si>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</si>
  <si>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</si>
  <si>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</si>
  <si>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</si>
  <si>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</si>
  <si>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</si>
  <si>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</si>
  <si>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</si>
  <si>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</si>
  <si>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</si>
  <si>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</si>
  <si>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</si>
  <si>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</si>
  <si>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</si>
  <si>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</si>
  <si>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</si>
  <si>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</si>
  <si>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</si>
  <si>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</si>
  <si>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</si>
  <si>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</si>
  <si>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</si>
  <si>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</si>
  <si>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</si>
  <si>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</si>
  <si>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</si>
  <si>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</si>
  <si>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</si>
  <si>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</si>
  <si>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</si>
  <si>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</si>
  <si>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</si>
  <si>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</si>
  <si>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</si>
  <si>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</si>
  <si>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</si>
  <si>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</si>
  <si>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</si>
  <si>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</si>
  <si>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</si>
  <si>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</si>
  <si>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</si>
  <si>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</si>
  <si>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</si>
  <si>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</si>
  <si>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</si>
  <si>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</si>
  <si>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</si>
  <si>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</si>
  <si>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</si>
  <si>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</si>
  <si>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</si>
  <si>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</si>
  <si>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</si>
  <si>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</si>
  <si>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</si>
  <si>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</si>
  <si>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</si>
  <si>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</si>
  <si>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</si>
  <si>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</si>
  <si>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</si>
  <si>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</si>
  <si>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</si>
  <si>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</si>
  <si>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</si>
  <si>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</si>
  <si>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</si>
  <si>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</si>
  <si>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</si>
  <si>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</si>
  <si>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</si>
  <si>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</si>
  <si>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</si>
  <si>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</si>
  <si>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</si>
  <si>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</si>
  <si>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</si>
  <si>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</si>
  <si>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</si>
  <si>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</si>
  <si>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</si>
  <si>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</si>
  <si>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</si>
  <si>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</si>
  <si>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</si>
  <si>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</si>
  <si>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</si>
  <si>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</si>
  <si>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</si>
  <si>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</si>
  <si>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</si>
  <si>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</si>
  <si>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</si>
  <si>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</si>
  <si>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</si>
  <si>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</si>
  <si>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</si>
  <si>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</si>
  <si>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</si>
  <si>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</si>
  <si>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</si>
  <si>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</si>
  <si>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</si>
  <si>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</si>
  <si>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</si>
  <si>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</si>
  <si>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</si>
  <si>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</si>
  <si>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</si>
  <si>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</si>
  <si>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</si>
  <si>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</si>
  <si>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</si>
  <si>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</si>
  <si>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</si>
  <si>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</si>
  <si>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</si>
  <si>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</si>
  <si>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</si>
  <si>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</si>
  <si>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</si>
  <si>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</si>
  <si>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</si>
  <si>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</si>
  <si>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</si>
  <si>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</si>
  <si>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</si>
  <si>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</si>
  <si>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</si>
  <si>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</si>
  <si>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</si>
  <si>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</si>
  <si>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</si>
  <si>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</si>
  <si>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</si>
  <si>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</si>
  <si>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</si>
  <si>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</si>
  <si>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</si>
  <si>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</si>
  <si>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</si>
  <si>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</si>
  <si>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</si>
  <si>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</si>
  <si>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</si>
  <si>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</si>
  <si>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</si>
  <si>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</si>
  <si>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</si>
  <si>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</si>
  <si>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</si>
  <si>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</si>
  <si>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</si>
  <si>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</si>
  <si>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</si>
  <si>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</si>
  <si>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</si>
  <si>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</si>
  <si>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</si>
  <si>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</si>
  <si>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</si>
  <si>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</si>
  <si>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</si>
  <si>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</si>
  <si>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</si>
  <si>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</si>
  <si>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</si>
  <si>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</si>
  <si>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</si>
  <si>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</si>
  <si>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</si>
  <si>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</si>
  <si>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</si>
  <si>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</si>
  <si>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</si>
  <si>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</si>
  <si>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</si>
  <si>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</si>
  <si>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</si>
  <si>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</si>
  <si>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</si>
  <si>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</si>
  <si>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</si>
  <si>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</si>
  <si>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</si>
  <si>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</si>
  <si>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</si>
  <si>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</si>
  <si>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</si>
  <si>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</si>
  <si>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</si>
  <si>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</si>
  <si>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</si>
  <si>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</si>
  <si>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</si>
  <si>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</si>
  <si>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</si>
  <si>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</si>
  <si>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</si>
  <si>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</si>
  <si>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</si>
  <si>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</si>
  <si>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</si>
  <si>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</si>
  <si>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</si>
  <si>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</si>
  <si>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</si>
  <si>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</si>
  <si>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</si>
  <si>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</si>
  <si>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</si>
  <si>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</si>
  <si>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</si>
  <si>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</si>
  <si>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</si>
  <si>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</si>
  <si>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</si>
  <si>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</si>
  <si>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</si>
  <si>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</si>
  <si>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</si>
  <si>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</si>
  <si>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</si>
  <si>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</si>
  <si>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</si>
  <si>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</si>
  <si>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</si>
  <si>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</si>
  <si>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</si>
  <si>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</si>
  <si>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</si>
  <si>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</si>
  <si>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</si>
  <si>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</si>
  <si>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</si>
  <si>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</si>
  <si>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</si>
  <si>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</si>
  <si>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</si>
  <si>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</si>
  <si>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</si>
  <si>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</si>
  <si>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</si>
  <si>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</si>
  <si>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</si>
  <si>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</si>
  <si>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</si>
  <si>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</si>
  <si>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</si>
  <si>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</si>
  <si>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</si>
  <si>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</si>
  <si>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</si>
  <si>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</si>
  <si>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</si>
  <si>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</si>
  <si>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</si>
  <si>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</si>
  <si>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</si>
  <si>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</si>
  <si>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</si>
  <si>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</si>
  <si>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</si>
  <si>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</si>
  <si>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</si>
  <si>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</si>
  <si>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</si>
  <si>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</si>
  <si>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</si>
  <si>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</si>
  <si>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</si>
  <si>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</si>
  <si>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</si>
  <si>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</si>
  <si>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</si>
  <si>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</si>
  <si>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</si>
  <si>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</si>
  <si>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</si>
  <si>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</si>
  <si>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</si>
  <si>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</si>
  <si>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</si>
  <si>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</si>
  <si>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</si>
  <si>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</si>
  <si>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</si>
  <si>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</si>
  <si>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</si>
  <si>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</si>
  <si>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</si>
  <si>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</si>
  <si>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</si>
  <si>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</si>
  <si>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</si>
  <si>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</si>
  <si>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</si>
  <si>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</si>
  <si>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</si>
  <si>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</si>
  <si>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</si>
  <si>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</si>
  <si>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</si>
  <si>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</si>
  <si>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</si>
  <si>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</si>
  <si>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</si>
  <si>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</si>
  <si>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</si>
  <si>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</si>
  <si>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</si>
  <si>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</si>
  <si>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</si>
  <si>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</si>
  <si>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</si>
  <si>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</si>
  <si>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</si>
  <si>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</si>
  <si>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</si>
  <si>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</si>
  <si>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</si>
  <si>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</si>
  <si>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</si>
  <si>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</si>
  <si>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</si>
  <si>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</si>
  <si>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</si>
  <si>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</si>
  <si>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</si>
  <si>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</si>
  <si>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</si>
  <si>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</si>
  <si>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</si>
  <si>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</si>
  <si>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</si>
  <si>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</si>
  <si>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</si>
  <si>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</si>
  <si>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</si>
  <si>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</si>
  <si>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</si>
  <si>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</si>
  <si>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</si>
  <si>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</si>
  <si>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</si>
  <si>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</si>
  <si>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</si>
  <si>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</si>
  <si>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</si>
  <si>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</si>
  <si>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</si>
  <si>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</si>
  <si>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</si>
  <si>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</si>
  <si>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</si>
  <si>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</si>
  <si>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</si>
  <si>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</si>
  <si>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</si>
  <si>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</si>
  <si>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</si>
  <si>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</si>
  <si>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</si>
  <si>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</si>
  <si>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</si>
  <si>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</si>
  <si>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</si>
  <si>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</si>
  <si>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</si>
  <si>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</si>
  <si>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</si>
  <si>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</si>
  <si>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</si>
  <si>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</si>
  <si>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</si>
  <si>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</si>
  <si>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</si>
  <si>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</si>
  <si>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</si>
  <si>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</si>
  <si>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</si>
  <si>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</si>
  <si>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</si>
  <si>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</si>
  <si>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</si>
  <si>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</si>
  <si>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</si>
  <si>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</si>
  <si>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</si>
  <si>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</si>
  <si>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</si>
  <si>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</si>
  <si>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</si>
  <si>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</si>
  <si>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</si>
  <si>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</si>
  <si>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</si>
  <si>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</si>
  <si>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</si>
  <si>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</si>
  <si>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</si>
  <si>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</si>
  <si>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</si>
  <si>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</si>
  <si>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</si>
  <si>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</si>
  <si>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</si>
  <si>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</si>
  <si>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</si>
  <si>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</si>
  <si>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</si>
  <si>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</si>
  <si>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</si>
  <si>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</si>
  <si>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</si>
  <si>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</si>
  <si>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</si>
  <si>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</si>
  <si>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</si>
  <si>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</si>
  <si>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</si>
  <si>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</si>
  <si>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</si>
  <si>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</si>
  <si>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</si>
  <si>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</si>
  <si>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</si>
  <si>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</si>
  <si>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</si>
  <si>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</si>
  <si>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</si>
  <si>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</si>
  <si>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</si>
  <si>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</si>
  <si>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</si>
  <si>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</si>
  <si>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</si>
  <si>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</si>
  <si>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</si>
  <si>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</si>
  <si>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</si>
  <si>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</si>
  <si>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</si>
  <si>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</si>
  <si>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</si>
  <si>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</si>
  <si>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</si>
  <si>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</si>
  <si>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</si>
  <si>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</si>
  <si>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</si>
  <si>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</si>
  <si>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</si>
  <si>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</si>
  <si>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</si>
  <si>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</si>
  <si>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</si>
  <si>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</si>
  <si>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</si>
  <si>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</si>
  <si>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</si>
  <si>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</si>
  <si>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</si>
  <si>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</si>
  <si>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</si>
  <si>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</si>
  <si>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</si>
  <si>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</si>
  <si>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</si>
  <si>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</si>
  <si>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</si>
  <si>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</si>
  <si>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</si>
  <si>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</si>
  <si>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</si>
  <si>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</si>
  <si>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</si>
  <si>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</si>
  <si>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</si>
  <si>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</si>
  <si>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</si>
  <si>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</si>
  <si>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</si>
  <si>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</si>
  <si>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</si>
  <si>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</si>
  <si>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</si>
  <si>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</si>
  <si>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</si>
  <si>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</si>
  <si>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</si>
  <si>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</si>
  <si>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</si>
  <si>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</si>
  <si>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</si>
  <si>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</si>
  <si>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</si>
  <si>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</si>
  <si>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</si>
  <si>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</si>
  <si>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</si>
  <si>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</si>
  <si>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</si>
  <si>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</si>
  <si>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</si>
  <si>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</si>
  <si>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</si>
  <si>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</si>
  <si>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</si>
  <si>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</si>
  <si>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</si>
  <si>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</si>
  <si>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</si>
  <si>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</si>
  <si>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</si>
  <si>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</si>
  <si>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</si>
  <si>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</si>
  <si>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</si>
  <si>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</si>
  <si>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</si>
  <si>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</si>
  <si>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</si>
  <si>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</si>
  <si>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</si>
  <si>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</si>
  <si>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</si>
  <si>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</si>
  <si>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</si>
  <si>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</si>
  <si>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</si>
  <si>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</si>
  <si>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</si>
  <si>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</si>
  <si>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</si>
  <si>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</si>
  <si>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</si>
  <si>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</si>
  <si>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</si>
  <si>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</si>
  <si>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</si>
  <si>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</si>
  <si>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</si>
  <si>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</si>
  <si>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</si>
  <si>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</si>
  <si>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</si>
  <si>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</si>
  <si>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</si>
  <si>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</si>
  <si>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</si>
  <si>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</si>
  <si>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</si>
  <si>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</si>
  <si>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</si>
  <si>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</si>
  <si>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audit adjustment</t>
  </si>
  <si>
    <t>08/05</t>
  </si>
  <si>
    <t>08/20</t>
  </si>
  <si>
    <t>interest earned</t>
  </si>
  <si>
    <t>Milton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</si>
</sst>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10" zoomScaleNormal="110" workbookViewId="0">
      <pane xSplit="5" ySplit="3" topLeftCell="F647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916</v>
      </c>
      <c r="B2" s="21">
        <v>359</v>
      </c>
      <c r="C2" s="21">
        <v>359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686407.92</v>
      </c>
      <c r="G9" s="18"/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310306.14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/>
      <c r="G13" s="18">
        <v>6392.11</v>
      </c>
      <c r="H13" s="18">
        <v>92094.43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f>17236.31+65817.52+10614</f>
        <v>93667.83</v>
      </c>
      <c r="G14" s="18">
        <v>21583.95</v>
      </c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780075.75</v>
      </c>
      <c r="G19" s="41">
        <f>SUM(G9:G18)</f>
        <v>27976.06</v>
      </c>
      <c r="H19" s="41">
        <f>SUM(H9:H18)</f>
        <v>92094.43</v>
      </c>
      <c r="I19" s="41">
        <f>SUM(I9:I18)</f>
        <v>0</v>
      </c>
      <c r="J19" s="41">
        <f>SUM(J9:J18)</f>
        <v>310306.14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-96459.32</v>
      </c>
      <c r="G22" s="18"/>
      <c r="H22" s="18"/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>
        <v>22750.48</v>
      </c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56126.86</v>
      </c>
      <c r="G24" s="18">
        <v>5225.58</v>
      </c>
      <c r="H24" s="18">
        <f>73708.84+18385.59</f>
        <v>92094.43</v>
      </c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283316.96000000002</v>
      </c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242984.5</v>
      </c>
      <c r="G32" s="41">
        <f>SUM(G22:G31)</f>
        <v>27976.059999999998</v>
      </c>
      <c r="H32" s="41">
        <f>SUM(H22:H31)</f>
        <v>92094.43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171607.28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/>
      <c r="I48" s="18"/>
      <c r="J48" s="13">
        <f>SUM(I459)</f>
        <v>310306.14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f>F19-F32-F44</f>
        <v>365483.97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537091.25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310306.14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780075.75</v>
      </c>
      <c r="G52" s="41">
        <f>G51+G32</f>
        <v>27976.059999999998</v>
      </c>
      <c r="H52" s="41">
        <f>H51+H32</f>
        <v>92094.43</v>
      </c>
      <c r="I52" s="41">
        <f>I51+I32</f>
        <v>0</v>
      </c>
      <c r="J52" s="41">
        <f>J51+J32</f>
        <v>310306.14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5747739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>
        <v>8298.17</v>
      </c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5756037.1699999999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6042.06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6042.06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>
        <v>26354.05</v>
      </c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26354.05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/>
      <c r="G96" s="18"/>
      <c r="H96" s="18"/>
      <c r="I96" s="18"/>
      <c r="J96" s="18"/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70518.070000000007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31700.959999999999</v>
      </c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159374.5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191075.46</v>
      </c>
      <c r="G111" s="41">
        <f>SUM(G96:G110)</f>
        <v>70518.070000000007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5979508.7399999993</v>
      </c>
      <c r="G112" s="41">
        <f>G60+G111</f>
        <v>70518.070000000007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2797463.25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830130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7114.02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3634707.27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177046.77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/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6008</v>
      </c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3282.2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183054.77</v>
      </c>
      <c r="G136" s="41">
        <f>SUM(G123:G135)</f>
        <v>3282.2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3817762.04</v>
      </c>
      <c r="G140" s="41">
        <f>G121+SUM(G136:G137)</f>
        <v>3282.2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>
        <v>101114.88</v>
      </c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101114.88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f>32538.13+3729.5+86138.39+21494.45</f>
        <v>143900.47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f>3044.87+13500+25642.17+16078.15+160329.22</f>
        <v>218594.41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92415.05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f>76709.61+144118.16</f>
        <v>220827.77000000002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113700.51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113700.51</v>
      </c>
      <c r="G162" s="41">
        <f>SUM(G150:G161)</f>
        <v>92415.05</v>
      </c>
      <c r="H162" s="41">
        <f>SUM(H150:H161)</f>
        <v>583322.65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113700.51</v>
      </c>
      <c r="G169" s="41">
        <f>G147+G162+SUM(G163:G168)</f>
        <v>92415.05</v>
      </c>
      <c r="H169" s="41">
        <f>H147+H162+SUM(H163:H168)</f>
        <v>684437.53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69704.53</v>
      </c>
      <c r="H179" s="18"/>
      <c r="I179" s="18"/>
      <c r="J179" s="18">
        <v>75000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69704.53</v>
      </c>
      <c r="H183" s="41">
        <f>SUM(H179:H182)</f>
        <v>0</v>
      </c>
      <c r="I183" s="41">
        <f>SUM(I179:I182)</f>
        <v>0</v>
      </c>
      <c r="J183" s="41">
        <f>SUM(J179:J182)</f>
        <v>75000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69704.53</v>
      </c>
      <c r="H192" s="41">
        <f>+H183+SUM(H188:H191)</f>
        <v>0</v>
      </c>
      <c r="I192" s="41">
        <f>I177+I183+SUM(I188:I191)</f>
        <v>0</v>
      </c>
      <c r="J192" s="41">
        <f>J183</f>
        <v>75000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9910971.2899999991</v>
      </c>
      <c r="G193" s="47">
        <f>G112+G140+G169+G192</f>
        <v>235919.85</v>
      </c>
      <c r="H193" s="47">
        <f>H112+H140+H169+H192</f>
        <v>684437.53</v>
      </c>
      <c r="I193" s="47">
        <f>I112+I140+I169+I192</f>
        <v>0</v>
      </c>
      <c r="J193" s="47">
        <f>J112+J140+J192</f>
        <v>75000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914457.08</v>
      </c>
      <c r="G197" s="18">
        <f>457552.15+12570.4</f>
        <v>470122.55000000005</v>
      </c>
      <c r="H197" s="18">
        <v>7225.05</v>
      </c>
      <c r="I197" s="18">
        <v>16762.91</v>
      </c>
      <c r="J197" s="18">
        <v>4746.47</v>
      </c>
      <c r="K197" s="18"/>
      <c r="L197" s="19">
        <f>SUM(F197:K197)</f>
        <v>1413314.0599999998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452998.41</v>
      </c>
      <c r="G198" s="18">
        <f>246911.43+6227.05</f>
        <v>253138.47999999998</v>
      </c>
      <c r="H198" s="18">
        <f>376564.69+4625.41</f>
        <v>381190.1</v>
      </c>
      <c r="I198" s="18">
        <v>1101.17</v>
      </c>
      <c r="J198" s="18">
        <v>2404.65</v>
      </c>
      <c r="K198" s="18"/>
      <c r="L198" s="19">
        <f>SUM(F198:K198)</f>
        <v>1090832.8099999996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15715.25</v>
      </c>
      <c r="G200" s="18">
        <f>3749.69+216.03</f>
        <v>3965.7200000000003</v>
      </c>
      <c r="H200" s="18"/>
      <c r="I200" s="18">
        <v>1968.18</v>
      </c>
      <c r="J200" s="18"/>
      <c r="K200" s="18"/>
      <c r="L200" s="19">
        <f>SUM(F200:K200)</f>
        <v>21649.15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f>44346+51292</f>
        <v>95638</v>
      </c>
      <c r="G202" s="18">
        <f>14538.27+16301.1+1314.67</f>
        <v>32154.04</v>
      </c>
      <c r="H202" s="18">
        <f>2925+129</f>
        <v>3054</v>
      </c>
      <c r="I202" s="18">
        <f>587.31+231.07</f>
        <v>818.37999999999988</v>
      </c>
      <c r="J202" s="18">
        <v>845</v>
      </c>
      <c r="K202" s="18">
        <v>179</v>
      </c>
      <c r="L202" s="19">
        <f t="shared" ref="L202:L208" si="0">SUM(F202:K202)</f>
        <v>132688.42000000001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32857</v>
      </c>
      <c r="G203" s="18">
        <f>13885.02+11630.28+451.66</f>
        <v>25966.960000000003</v>
      </c>
      <c r="H203" s="18">
        <v>4901.75</v>
      </c>
      <c r="I203" s="18">
        <v>6173.88</v>
      </c>
      <c r="J203" s="18"/>
      <c r="K203" s="18"/>
      <c r="L203" s="19">
        <f t="shared" si="0"/>
        <v>69899.590000000011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114234.76</v>
      </c>
      <c r="G204" s="18">
        <f>421.92+1570.3</f>
        <v>1992.22</v>
      </c>
      <c r="H204" s="18">
        <v>20329.900000000001</v>
      </c>
      <c r="I204" s="18"/>
      <c r="J204" s="18"/>
      <c r="K204" s="18">
        <v>1956.01</v>
      </c>
      <c r="L204" s="19">
        <f t="shared" si="0"/>
        <v>138512.89000000001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201465.45</v>
      </c>
      <c r="G205" s="18">
        <f>91567.32+2769.4</f>
        <v>94336.72</v>
      </c>
      <c r="H205" s="18">
        <v>22170.11</v>
      </c>
      <c r="I205" s="18">
        <v>5599.22</v>
      </c>
      <c r="J205" s="18"/>
      <c r="K205" s="18">
        <f>1560-2980.69</f>
        <v>-1420.69</v>
      </c>
      <c r="L205" s="19">
        <f t="shared" si="0"/>
        <v>322150.81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115069.75</v>
      </c>
      <c r="G207" s="18">
        <f>51088.87+1581.78</f>
        <v>52670.65</v>
      </c>
      <c r="H207" s="18">
        <v>120364.68</v>
      </c>
      <c r="I207" s="18">
        <v>66436.14</v>
      </c>
      <c r="J207" s="18">
        <v>1039.51</v>
      </c>
      <c r="K207" s="18">
        <v>50</v>
      </c>
      <c r="L207" s="19">
        <f t="shared" si="0"/>
        <v>355630.73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v>83768.7</v>
      </c>
      <c r="G208" s="18">
        <f>36708.26+1151.51</f>
        <v>37859.770000000004</v>
      </c>
      <c r="H208" s="18">
        <f>54356.33+9600.75</f>
        <v>63957.08</v>
      </c>
      <c r="I208" s="18">
        <v>21804.78</v>
      </c>
      <c r="J208" s="18">
        <v>1531.06</v>
      </c>
      <c r="K208" s="18">
        <v>3203.42</v>
      </c>
      <c r="L208" s="19">
        <f t="shared" si="0"/>
        <v>212124.81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>
        <v>31510.880000000001</v>
      </c>
      <c r="I209" s="18">
        <v>8498.51</v>
      </c>
      <c r="J209" s="18"/>
      <c r="K209" s="18"/>
      <c r="L209" s="19">
        <f>SUM(F209:K209)</f>
        <v>40009.39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2026204.4</v>
      </c>
      <c r="G211" s="41">
        <f t="shared" si="1"/>
        <v>972207.11</v>
      </c>
      <c r="H211" s="41">
        <f t="shared" si="1"/>
        <v>654703.54999999993</v>
      </c>
      <c r="I211" s="41">
        <f t="shared" si="1"/>
        <v>129163.17</v>
      </c>
      <c r="J211" s="41">
        <f t="shared" si="1"/>
        <v>10566.69</v>
      </c>
      <c r="K211" s="41">
        <f t="shared" si="1"/>
        <v>3967.7400000000002</v>
      </c>
      <c r="L211" s="41">
        <f t="shared" si="1"/>
        <v>3796812.6599999992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v>442644.76</v>
      </c>
      <c r="G215" s="18">
        <f>213159+6906.55</f>
        <v>220065.55</v>
      </c>
      <c r="H215" s="18">
        <v>5440.6</v>
      </c>
      <c r="I215" s="18">
        <v>15349.55</v>
      </c>
      <c r="J215" s="18">
        <v>594.52</v>
      </c>
      <c r="K215" s="18">
        <v>235</v>
      </c>
      <c r="L215" s="19">
        <f>SUM(F215:K215)</f>
        <v>684329.9800000001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v>186550.76</v>
      </c>
      <c r="G216" s="18">
        <f>85745.39+3298.36</f>
        <v>89043.75</v>
      </c>
      <c r="H216" s="18">
        <f>154914.88+5430.92</f>
        <v>160345.80000000002</v>
      </c>
      <c r="I216" s="18">
        <v>1542.53</v>
      </c>
      <c r="J216" s="18"/>
      <c r="K216" s="18"/>
      <c r="L216" s="19">
        <f>SUM(F216:K216)</f>
        <v>437482.84000000008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v>27610.99</v>
      </c>
      <c r="G218" s="18">
        <f>11647.71+432.31</f>
        <v>12080.019999999999</v>
      </c>
      <c r="H218" s="18">
        <v>2658.4</v>
      </c>
      <c r="I218" s="18">
        <v>2524.34</v>
      </c>
      <c r="J218" s="18">
        <v>3500</v>
      </c>
      <c r="K218" s="18">
        <v>700</v>
      </c>
      <c r="L218" s="19">
        <f>SUM(F218:K218)</f>
        <v>49073.75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f>52622.63+20856.84</f>
        <v>73479.47</v>
      </c>
      <c r="G220" s="18">
        <f>22772.57+11702.97+1227.83</f>
        <v>35703.370000000003</v>
      </c>
      <c r="H220" s="18">
        <f>975.79</f>
        <v>975.79</v>
      </c>
      <c r="I220" s="18">
        <f>362.65+172.69</f>
        <v>535.33999999999992</v>
      </c>
      <c r="J220" s="18"/>
      <c r="K220" s="18">
        <v>169</v>
      </c>
      <c r="L220" s="19">
        <f t="shared" ref="L220:L226" si="2">SUM(F220:K220)</f>
        <v>110862.96999999999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v>22641.29</v>
      </c>
      <c r="G221" s="18">
        <f>799.2+10435.45+372.93</f>
        <v>11607.580000000002</v>
      </c>
      <c r="H221" s="18">
        <f>2357.66+125</f>
        <v>2482.66</v>
      </c>
      <c r="I221" s="18">
        <v>5740.42</v>
      </c>
      <c r="J221" s="18"/>
      <c r="K221" s="18"/>
      <c r="L221" s="19">
        <f t="shared" si="2"/>
        <v>42471.95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v>68458.66</v>
      </c>
      <c r="G222" s="18">
        <f>594.63+1127.59</f>
        <v>1722.2199999999998</v>
      </c>
      <c r="H222" s="18">
        <f>30331.38</f>
        <v>30331.38</v>
      </c>
      <c r="I222" s="18"/>
      <c r="J222" s="18"/>
      <c r="K222" s="18">
        <f>1555-1788.42</f>
        <v>-233.42000000000007</v>
      </c>
      <c r="L222" s="19">
        <f t="shared" si="2"/>
        <v>100278.84000000001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v>82422.75</v>
      </c>
      <c r="G223" s="18">
        <f>39002.81+1340</f>
        <v>40342.81</v>
      </c>
      <c r="H223" s="18">
        <v>6223.44</v>
      </c>
      <c r="I223" s="18">
        <v>2414.14</v>
      </c>
      <c r="J223" s="18"/>
      <c r="K223" s="18">
        <v>309.60000000000002</v>
      </c>
      <c r="L223" s="19">
        <f t="shared" si="2"/>
        <v>131712.74000000002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f>145549.21*0.4</f>
        <v>58219.684000000001</v>
      </c>
      <c r="G225" s="18">
        <f>(63480.45*0.4)+958.94</f>
        <v>26351.119999999999</v>
      </c>
      <c r="H225" s="18">
        <f>130820.99*0.4</f>
        <v>52328.396000000008</v>
      </c>
      <c r="I225" s="18">
        <f>111176.93*0.4</f>
        <v>44470.771999999997</v>
      </c>
      <c r="J225" s="18">
        <f>2680.75*0.4</f>
        <v>1072.3</v>
      </c>
      <c r="K225" s="18">
        <f>75*0.4</f>
        <v>30</v>
      </c>
      <c r="L225" s="19">
        <f t="shared" si="2"/>
        <v>182472.272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>
        <f>23395.41+3940.74+20188.56+6294.3+3506.98</f>
        <v>57325.990000000013</v>
      </c>
      <c r="G226" s="18">
        <f>17242.79+152.66+2206.58+1630.41+297.85+100.94+82.72+693.48+258.42+57.36+1198.31</f>
        <v>23921.519999999997</v>
      </c>
      <c r="H226" s="18">
        <f>1616.84+300.16+20337.49+11988.08+384.14+5286.53</f>
        <v>39913.24</v>
      </c>
      <c r="I226" s="18">
        <f>138.55+12944.07</f>
        <v>13082.619999999999</v>
      </c>
      <c r="J226" s="18">
        <f>906.24</f>
        <v>906.24</v>
      </c>
      <c r="K226" s="18">
        <f>1623.3</f>
        <v>1623.3</v>
      </c>
      <c r="L226" s="19">
        <f t="shared" si="2"/>
        <v>136772.90999999997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>
        <v>22134.65</v>
      </c>
      <c r="I227" s="18">
        <f>2750.06*0.4</f>
        <v>1100.0240000000001</v>
      </c>
      <c r="J227" s="18">
        <f>419.75*0.4</f>
        <v>167.9</v>
      </c>
      <c r="K227" s="18"/>
      <c r="L227" s="19">
        <f>SUM(F227:K227)</f>
        <v>23402.574000000004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1019354.3540000001</v>
      </c>
      <c r="G229" s="41">
        <f>SUM(G215:G228)</f>
        <v>460837.94</v>
      </c>
      <c r="H229" s="41">
        <f>SUM(H215:H228)</f>
        <v>322834.35600000009</v>
      </c>
      <c r="I229" s="41">
        <f>SUM(I215:I228)</f>
        <v>86759.736000000004</v>
      </c>
      <c r="J229" s="41">
        <f>SUM(J215:J228)</f>
        <v>6240.9599999999991</v>
      </c>
      <c r="K229" s="41">
        <f t="shared" si="3"/>
        <v>2833.4799999999996</v>
      </c>
      <c r="L229" s="41">
        <f t="shared" si="3"/>
        <v>1898860.8260000001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v>605636.41</v>
      </c>
      <c r="G233" s="18">
        <f>296621.62+10359.82</f>
        <v>306981.44</v>
      </c>
      <c r="H233" s="18">
        <v>39686.5</v>
      </c>
      <c r="I233" s="18">
        <v>28733.9</v>
      </c>
      <c r="J233" s="18">
        <v>852.08</v>
      </c>
      <c r="K233" s="18">
        <v>735</v>
      </c>
      <c r="L233" s="19">
        <f>SUM(F233:K233)</f>
        <v>982625.33000000007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v>314076.52</v>
      </c>
      <c r="G234" s="18">
        <f>184997.78+4947.53</f>
        <v>189945.31</v>
      </c>
      <c r="H234" s="18">
        <v>525233.87</v>
      </c>
      <c r="I234" s="18">
        <v>2064.7199999999998</v>
      </c>
      <c r="J234" s="18">
        <v>285</v>
      </c>
      <c r="K234" s="18"/>
      <c r="L234" s="19">
        <f>SUM(F234:K234)</f>
        <v>1031605.4199999999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>
        <v>51292</v>
      </c>
      <c r="G235" s="18">
        <f>16842.52+844.84</f>
        <v>17687.36</v>
      </c>
      <c r="H235" s="18">
        <v>24283.67</v>
      </c>
      <c r="I235" s="18">
        <v>283.49</v>
      </c>
      <c r="J235" s="18"/>
      <c r="K235" s="18"/>
      <c r="L235" s="19">
        <f>SUM(F235:K235)</f>
        <v>93546.52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v>38005.79</v>
      </c>
      <c r="G236" s="18">
        <f>6225.65+648.47</f>
        <v>6874.12</v>
      </c>
      <c r="H236" s="18">
        <v>8069.66</v>
      </c>
      <c r="I236" s="18">
        <v>3951.52</v>
      </c>
      <c r="J236" s="18">
        <v>6465.75</v>
      </c>
      <c r="K236" s="18">
        <v>3468</v>
      </c>
      <c r="L236" s="19">
        <f>SUM(F236:K236)</f>
        <v>66834.84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f>81596.49+31285.16</f>
        <v>112881.65000000001</v>
      </c>
      <c r="G238" s="18">
        <f>69900.28+17595.72+1841.75</f>
        <v>89337.75</v>
      </c>
      <c r="H238" s="18">
        <v>2160.84</v>
      </c>
      <c r="I238" s="18">
        <f>1138.77+404.05</f>
        <v>1542.82</v>
      </c>
      <c r="J238" s="18">
        <v>79.900000000000006</v>
      </c>
      <c r="K238" s="18">
        <v>169</v>
      </c>
      <c r="L238" s="19">
        <f t="shared" ref="L238:L244" si="4">SUM(F238:K238)</f>
        <v>206171.96000000002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v>33961.71</v>
      </c>
      <c r="G239" s="18">
        <f>4195.68+15706.66+559.39</f>
        <v>20461.73</v>
      </c>
      <c r="H239" s="18">
        <v>1992.86</v>
      </c>
      <c r="I239" s="18">
        <v>4968.0600000000004</v>
      </c>
      <c r="J239" s="18"/>
      <c r="K239" s="18"/>
      <c r="L239" s="19">
        <f t="shared" si="4"/>
        <v>61384.36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102687.98</v>
      </c>
      <c r="G240" s="18">
        <f>87358.21+1691.39</f>
        <v>89049.600000000006</v>
      </c>
      <c r="H240" s="18">
        <v>30479.16</v>
      </c>
      <c r="I240" s="18">
        <v>3608.92</v>
      </c>
      <c r="J240" s="18">
        <v>634.98</v>
      </c>
      <c r="K240" s="18">
        <f>1835+599.58-2682.62</f>
        <v>-248.03999999999996</v>
      </c>
      <c r="L240" s="19">
        <f t="shared" si="4"/>
        <v>226212.60000000003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v>120963.49</v>
      </c>
      <c r="G241" s="18">
        <f>58166.49+2010</f>
        <v>60176.49</v>
      </c>
      <c r="H241" s="18">
        <v>9392.6</v>
      </c>
      <c r="I241" s="18">
        <v>1931.86</v>
      </c>
      <c r="J241" s="18">
        <v>43.03</v>
      </c>
      <c r="K241" s="18">
        <v>1877.43</v>
      </c>
      <c r="L241" s="19">
        <f t="shared" si="4"/>
        <v>194384.9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f>145549.21*0.6</f>
        <v>87329.525999999998</v>
      </c>
      <c r="G243" s="18">
        <f>(63480.45*0.6)+1438.4</f>
        <v>39526.67</v>
      </c>
      <c r="H243" s="18">
        <f>130820.99*0.6</f>
        <v>78492.593999999997</v>
      </c>
      <c r="I243" s="18">
        <f>111176.93*0.6</f>
        <v>66706.157999999996</v>
      </c>
      <c r="J243" s="18">
        <f>2680.75*0.6</f>
        <v>1608.45</v>
      </c>
      <c r="K243" s="18">
        <f>75*0.6</f>
        <v>45</v>
      </c>
      <c r="L243" s="19">
        <f t="shared" si="4"/>
        <v>273708.39799999999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>
        <f>35093.11+5911.11+30282.85+9441.46+38565.39+5260.48</f>
        <v>124554.4</v>
      </c>
      <c r="G244" s="18">
        <f>25864.18+446.77+228.98+3309.86+2445.61+2665.59+151.41+124.08+1040.22+3639.09+387.62+86.04</f>
        <v>40389.450000000012</v>
      </c>
      <c r="H244" s="18">
        <f>17982.12+30506.24+450.24+2425.25+7929.8+2115.68+1797.47</f>
        <v>63206.8</v>
      </c>
      <c r="I244" s="18">
        <f>207.83+19416.1</f>
        <v>19623.93</v>
      </c>
      <c r="J244" s="18">
        <f>1359.37</f>
        <v>1359.37</v>
      </c>
      <c r="K244" s="18">
        <f>2434.95</f>
        <v>2434.9499999999998</v>
      </c>
      <c r="L244" s="19">
        <f t="shared" si="4"/>
        <v>251568.90000000002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>
        <v>23827.81</v>
      </c>
      <c r="I245" s="18">
        <f>2750.06*0.6</f>
        <v>1650.0359999999998</v>
      </c>
      <c r="J245" s="18">
        <f>419.75*0.6</f>
        <v>251.85</v>
      </c>
      <c r="K245" s="18"/>
      <c r="L245" s="19">
        <f>SUM(F245:K245)</f>
        <v>25729.696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1591389.476</v>
      </c>
      <c r="G247" s="41">
        <f t="shared" si="5"/>
        <v>860429.91999999993</v>
      </c>
      <c r="H247" s="41">
        <f t="shared" si="5"/>
        <v>806826.36400000018</v>
      </c>
      <c r="I247" s="41">
        <f t="shared" si="5"/>
        <v>135065.41399999999</v>
      </c>
      <c r="J247" s="41">
        <f t="shared" si="5"/>
        <v>11580.410000000002</v>
      </c>
      <c r="K247" s="41">
        <f t="shared" si="5"/>
        <v>8481.34</v>
      </c>
      <c r="L247" s="41">
        <f t="shared" si="5"/>
        <v>3413772.9239999996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>
        <v>32660.3</v>
      </c>
      <c r="I255" s="18"/>
      <c r="J255" s="18"/>
      <c r="K255" s="18"/>
      <c r="L255" s="19">
        <f t="shared" si="6"/>
        <v>32660.3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32660.3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32660.3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4636948.2299999995</v>
      </c>
      <c r="G257" s="41">
        <f t="shared" si="8"/>
        <v>2293474.9699999997</v>
      </c>
      <c r="H257" s="41">
        <f t="shared" si="8"/>
        <v>1817024.57</v>
      </c>
      <c r="I257" s="41">
        <f t="shared" si="8"/>
        <v>350988.32</v>
      </c>
      <c r="J257" s="41">
        <f t="shared" si="8"/>
        <v>28388.060000000005</v>
      </c>
      <c r="K257" s="41">
        <f t="shared" si="8"/>
        <v>15282.56</v>
      </c>
      <c r="L257" s="41">
        <f t="shared" si="8"/>
        <v>9142106.7100000009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270000</v>
      </c>
      <c r="L260" s="19">
        <f>SUM(F260:K260)</f>
        <v>270000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33475.5</v>
      </c>
      <c r="L261" s="19">
        <f>SUM(F261:K261)</f>
        <v>33475.5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69704.53</v>
      </c>
      <c r="L263" s="19">
        <f>SUM(F263:K263)</f>
        <v>69704.53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75000</v>
      </c>
      <c r="L266" s="19">
        <f t="shared" si="9"/>
        <v>75000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448180.03</v>
      </c>
      <c r="L270" s="41">
        <f t="shared" si="9"/>
        <v>448180.03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4636948.2299999995</v>
      </c>
      <c r="G271" s="42">
        <f t="shared" si="11"/>
        <v>2293474.9699999997</v>
      </c>
      <c r="H271" s="42">
        <f t="shared" si="11"/>
        <v>1817024.57</v>
      </c>
      <c r="I271" s="42">
        <f t="shared" si="11"/>
        <v>350988.32</v>
      </c>
      <c r="J271" s="42">
        <f t="shared" si="11"/>
        <v>28388.060000000005</v>
      </c>
      <c r="K271" s="42">
        <f t="shared" si="11"/>
        <v>463462.59</v>
      </c>
      <c r="L271" s="42">
        <f t="shared" si="11"/>
        <v>9590286.7400000002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35132</v>
      </c>
      <c r="G276" s="18">
        <v>15415.34</v>
      </c>
      <c r="H276" s="18"/>
      <c r="I276" s="18">
        <v>24124.58</v>
      </c>
      <c r="J276" s="18"/>
      <c r="K276" s="18"/>
      <c r="L276" s="19">
        <f>SUM(F276:K276)</f>
        <v>74671.92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>
        <v>9957.2199999999993</v>
      </c>
      <c r="I277" s="18"/>
      <c r="J277" s="18"/>
      <c r="K277" s="18">
        <v>242</v>
      </c>
      <c r="L277" s="19">
        <f>SUM(F277:K277)</f>
        <v>10199.219999999999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v>10182.5</v>
      </c>
      <c r="G279" s="18">
        <v>2376.0300000000002</v>
      </c>
      <c r="H279" s="18"/>
      <c r="I279" s="18"/>
      <c r="J279" s="18"/>
      <c r="K279" s="18"/>
      <c r="L279" s="19">
        <f>SUM(F279:K279)</f>
        <v>12558.53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/>
      <c r="H282" s="18">
        <v>1980</v>
      </c>
      <c r="I282" s="18">
        <f>1064.87+1029.6</f>
        <v>2094.4699999999998</v>
      </c>
      <c r="J282" s="18"/>
      <c r="K282" s="18"/>
      <c r="L282" s="19">
        <f t="shared" si="12"/>
        <v>4074.47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>
        <v>1411.47</v>
      </c>
      <c r="G287" s="18">
        <v>107.98</v>
      </c>
      <c r="H287" s="18"/>
      <c r="I287" s="18"/>
      <c r="J287" s="18"/>
      <c r="K287" s="18"/>
      <c r="L287" s="19">
        <f t="shared" si="12"/>
        <v>1519.45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46725.97</v>
      </c>
      <c r="G290" s="42">
        <f t="shared" si="13"/>
        <v>17899.349999999999</v>
      </c>
      <c r="H290" s="42">
        <f t="shared" si="13"/>
        <v>11937.22</v>
      </c>
      <c r="I290" s="42">
        <f t="shared" si="13"/>
        <v>26219.050000000003</v>
      </c>
      <c r="J290" s="42">
        <f t="shared" si="13"/>
        <v>0</v>
      </c>
      <c r="K290" s="42">
        <f t="shared" si="13"/>
        <v>242</v>
      </c>
      <c r="L290" s="41">
        <f t="shared" si="13"/>
        <v>103023.59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>
        <v>55016.51</v>
      </c>
      <c r="G295" s="18">
        <v>17064.400000000001</v>
      </c>
      <c r="H295" s="18">
        <v>1368.23</v>
      </c>
      <c r="I295" s="18"/>
      <c r="J295" s="18"/>
      <c r="K295" s="18"/>
      <c r="L295" s="19">
        <f>SUM(F295:K295)</f>
        <v>73449.14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>
        <v>11824.09</v>
      </c>
      <c r="G298" s="18">
        <v>2694.24</v>
      </c>
      <c r="H298" s="18"/>
      <c r="I298" s="18"/>
      <c r="J298" s="18"/>
      <c r="K298" s="18"/>
      <c r="L298" s="19">
        <f>SUM(F298:K298)</f>
        <v>14518.33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>
        <v>20551.259999999998</v>
      </c>
      <c r="I300" s="18">
        <v>29697.5</v>
      </c>
      <c r="J300" s="18">
        <v>6456.36</v>
      </c>
      <c r="K300" s="18"/>
      <c r="L300" s="19">
        <f t="shared" ref="L300:L306" si="14">SUM(F300:K300)</f>
        <v>56705.119999999995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>
        <v>2340</v>
      </c>
      <c r="L304" s="19">
        <f t="shared" si="14"/>
        <v>2340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>
        <v>2182.71</v>
      </c>
      <c r="G306" s="18">
        <v>161.97</v>
      </c>
      <c r="H306" s="18">
        <v>2149.08</v>
      </c>
      <c r="I306" s="18"/>
      <c r="J306" s="18"/>
      <c r="K306" s="18"/>
      <c r="L306" s="19">
        <f t="shared" si="14"/>
        <v>4493.76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69023.310000000012</v>
      </c>
      <c r="G309" s="42">
        <f t="shared" si="15"/>
        <v>19920.61</v>
      </c>
      <c r="H309" s="42">
        <f t="shared" si="15"/>
        <v>24068.57</v>
      </c>
      <c r="I309" s="42">
        <f t="shared" si="15"/>
        <v>29697.5</v>
      </c>
      <c r="J309" s="42">
        <f t="shared" si="15"/>
        <v>6456.36</v>
      </c>
      <c r="K309" s="42">
        <f t="shared" si="15"/>
        <v>2340</v>
      </c>
      <c r="L309" s="41">
        <f t="shared" si="15"/>
        <v>151506.35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>
        <v>3000</v>
      </c>
      <c r="G314" s="18">
        <v>750.3</v>
      </c>
      <c r="H314" s="18"/>
      <c r="I314" s="18">
        <v>129.94</v>
      </c>
      <c r="J314" s="18">
        <v>156448.98000000001</v>
      </c>
      <c r="K314" s="18"/>
      <c r="L314" s="19">
        <f>SUM(F314:K314)</f>
        <v>160329.22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>
        <v>17597.82</v>
      </c>
      <c r="G315" s="18">
        <v>3234.71</v>
      </c>
      <c r="H315" s="18">
        <f>174671.94+1320</f>
        <v>175991.94</v>
      </c>
      <c r="I315" s="18">
        <v>2343.3000000000002</v>
      </c>
      <c r="J315" s="18">
        <v>6591.05</v>
      </c>
      <c r="K315" s="18">
        <v>4869.7299999999996</v>
      </c>
      <c r="L315" s="19">
        <f>SUM(F315:K315)</f>
        <v>210628.55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>
        <f>5425+7000</f>
        <v>12425</v>
      </c>
      <c r="G320" s="18">
        <f>1348.5+1750.7</f>
        <v>3099.2</v>
      </c>
      <c r="H320" s="18">
        <f>31964.11+7327.45</f>
        <v>39291.56</v>
      </c>
      <c r="I320" s="18"/>
      <c r="J320" s="18"/>
      <c r="K320" s="18"/>
      <c r="L320" s="19">
        <f t="shared" si="16"/>
        <v>54815.759999999995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>
        <v>3000</v>
      </c>
      <c r="G323" s="18">
        <v>729.5</v>
      </c>
      <c r="H323" s="18"/>
      <c r="I323" s="18"/>
      <c r="J323" s="18"/>
      <c r="K323" s="18"/>
      <c r="L323" s="19">
        <f t="shared" si="16"/>
        <v>3729.5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>
        <v>404.56</v>
      </c>
      <c r="I325" s="18"/>
      <c r="J325" s="18"/>
      <c r="K325" s="18"/>
      <c r="L325" s="19">
        <f t="shared" si="16"/>
        <v>404.56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36022.82</v>
      </c>
      <c r="G328" s="42">
        <f t="shared" si="17"/>
        <v>7813.71</v>
      </c>
      <c r="H328" s="42">
        <f t="shared" si="17"/>
        <v>215688.06</v>
      </c>
      <c r="I328" s="42">
        <f t="shared" si="17"/>
        <v>2473.2400000000002</v>
      </c>
      <c r="J328" s="42">
        <f t="shared" si="17"/>
        <v>163040.03</v>
      </c>
      <c r="K328" s="42">
        <f t="shared" si="17"/>
        <v>4869.7299999999996</v>
      </c>
      <c r="L328" s="41">
        <f t="shared" si="17"/>
        <v>429907.59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151772.1</v>
      </c>
      <c r="G338" s="41">
        <f t="shared" si="20"/>
        <v>45633.67</v>
      </c>
      <c r="H338" s="41">
        <f t="shared" si="20"/>
        <v>251693.85</v>
      </c>
      <c r="I338" s="41">
        <f t="shared" si="20"/>
        <v>58389.79</v>
      </c>
      <c r="J338" s="41">
        <f t="shared" si="20"/>
        <v>169496.38999999998</v>
      </c>
      <c r="K338" s="41">
        <f t="shared" si="20"/>
        <v>7451.73</v>
      </c>
      <c r="L338" s="41">
        <f t="shared" si="20"/>
        <v>684437.53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151772.1</v>
      </c>
      <c r="G352" s="41">
        <f>G338</f>
        <v>45633.67</v>
      </c>
      <c r="H352" s="41">
        <f>H338</f>
        <v>251693.85</v>
      </c>
      <c r="I352" s="41">
        <f>I338</f>
        <v>58389.79</v>
      </c>
      <c r="J352" s="41">
        <f>J338</f>
        <v>169496.38999999998</v>
      </c>
      <c r="K352" s="47">
        <f>K338+K351</f>
        <v>7451.73</v>
      </c>
      <c r="L352" s="41">
        <f>L338+L351</f>
        <v>684437.53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/>
      <c r="G358" s="18"/>
      <c r="H358" s="18">
        <v>96345.600000000006</v>
      </c>
      <c r="I358" s="18"/>
      <c r="J358" s="18"/>
      <c r="K358" s="18"/>
      <c r="L358" s="13">
        <f>SUM(F358:K358)</f>
        <v>96345.600000000006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>
        <v>57807.360000000001</v>
      </c>
      <c r="I359" s="18"/>
      <c r="J359" s="18"/>
      <c r="K359" s="18"/>
      <c r="L359" s="19">
        <f>SUM(F359:K359)</f>
        <v>57807.360000000001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>
        <f>86711.04+4523.97</f>
        <v>91235.01</v>
      </c>
      <c r="I360" s="18"/>
      <c r="J360" s="18"/>
      <c r="K360" s="18"/>
      <c r="L360" s="19">
        <f>SUM(F360:K360)</f>
        <v>91235.01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245387.97000000003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245387.97000000003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/>
      <c r="G367" s="18"/>
      <c r="H367" s="18"/>
      <c r="I367" s="56">
        <f>SUM(F367:H367)</f>
        <v>0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/>
      <c r="G368" s="63"/>
      <c r="H368" s="63"/>
      <c r="I368" s="56">
        <f>SUM(F368:H368)</f>
        <v>0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>
        <v>50000</v>
      </c>
      <c r="H389" s="18"/>
      <c r="I389" s="18"/>
      <c r="J389" s="24" t="s">
        <v>286</v>
      </c>
      <c r="K389" s="24" t="s">
        <v>286</v>
      </c>
      <c r="L389" s="56">
        <f t="shared" si="25"/>
        <v>50000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50000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50000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/>
      <c r="I397" s="18"/>
      <c r="J397" s="24" t="s">
        <v>286</v>
      </c>
      <c r="K397" s="24" t="s">
        <v>286</v>
      </c>
      <c r="L397" s="56">
        <f t="shared" si="26"/>
        <v>0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>
        <v>25000</v>
      </c>
      <c r="H399" s="18"/>
      <c r="I399" s="18"/>
      <c r="J399" s="24" t="s">
        <v>286</v>
      </c>
      <c r="K399" s="24" t="s">
        <v>286</v>
      </c>
      <c r="L399" s="56">
        <f t="shared" si="26"/>
        <v>25000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25000</v>
      </c>
      <c r="H401" s="47">
        <f>SUM(H395:H400)</f>
        <v>0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25000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75000</v>
      </c>
      <c r="H408" s="47">
        <f>H393+H401+H407</f>
        <v>0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75000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>
        <v>23247.68</v>
      </c>
      <c r="I422" s="18"/>
      <c r="J422" s="18"/>
      <c r="K422" s="18"/>
      <c r="L422" s="56">
        <f t="shared" si="29"/>
        <v>23247.68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23247.68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23247.68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23247.68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23247.68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>
        <v>120713.62</v>
      </c>
      <c r="G440" s="18">
        <f>2069.34+2669.07+27197.81+157656.3</f>
        <v>189592.52</v>
      </c>
      <c r="H440" s="18"/>
      <c r="I440" s="56">
        <f t="shared" si="33"/>
        <v>310306.14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120713.62</v>
      </c>
      <c r="G446" s="13">
        <f>SUM(G439:G445)</f>
        <v>189592.52</v>
      </c>
      <c r="H446" s="13">
        <f>SUM(H439:H445)</f>
        <v>0</v>
      </c>
      <c r="I446" s="13">
        <f>SUM(I439:I445)</f>
        <v>310306.14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120713.62</v>
      </c>
      <c r="G459" s="18">
        <v>189592.52</v>
      </c>
      <c r="H459" s="18"/>
      <c r="I459" s="56">
        <f t="shared" si="34"/>
        <v>310306.14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120713.62</v>
      </c>
      <c r="G460" s="83">
        <f>SUM(G454:G459)</f>
        <v>189592.52</v>
      </c>
      <c r="H460" s="83">
        <f>SUM(H454:H459)</f>
        <v>0</v>
      </c>
      <c r="I460" s="83">
        <f>SUM(I454:I459)</f>
        <v>310306.14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120713.62</v>
      </c>
      <c r="G461" s="42">
        <f>G452+G460</f>
        <v>189592.52</v>
      </c>
      <c r="H461" s="42">
        <f>H452+H460</f>
        <v>0</v>
      </c>
      <c r="I461" s="42">
        <f>I452+I460</f>
        <v>310306.14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205649.85</v>
      </c>
      <c r="G465" s="18">
        <v>9468.1200000000008</v>
      </c>
      <c r="H465" s="18">
        <v>0</v>
      </c>
      <c r="I465" s="18"/>
      <c r="J465" s="18">
        <v>255361.35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9910971.2899999991</v>
      </c>
      <c r="G468" s="18">
        <v>235919.85</v>
      </c>
      <c r="H468" s="18">
        <v>684437.53</v>
      </c>
      <c r="I468" s="18"/>
      <c r="J468" s="18">
        <v>75000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>
        <v>10756.85</v>
      </c>
      <c r="G469" s="18"/>
      <c r="H469" s="18"/>
      <c r="I469" s="18"/>
      <c r="J469" s="18">
        <f>22.87+29.49+1248.75+148.82+1742.54</f>
        <v>3192.47</v>
      </c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9921728.1399999987</v>
      </c>
      <c r="G470" s="53">
        <f>SUM(G468:G469)</f>
        <v>235919.85</v>
      </c>
      <c r="H470" s="53">
        <f>SUM(H468:H469)</f>
        <v>684437.53</v>
      </c>
      <c r="I470" s="53">
        <f>SUM(I468:I469)</f>
        <v>0</v>
      </c>
      <c r="J470" s="53">
        <f>SUM(J468:J469)</f>
        <v>78192.47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9590286.7400000002</v>
      </c>
      <c r="G472" s="18">
        <v>245387.97</v>
      </c>
      <c r="H472" s="18">
        <v>684437.53</v>
      </c>
      <c r="I472" s="18"/>
      <c r="J472" s="18">
        <v>23247.68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9590286.7400000002</v>
      </c>
      <c r="G474" s="53">
        <f>SUM(G472:G473)</f>
        <v>245387.97</v>
      </c>
      <c r="H474" s="53">
        <f>SUM(H472:H473)</f>
        <v>684437.53</v>
      </c>
      <c r="I474" s="53">
        <f>SUM(I472:I473)</f>
        <v>0</v>
      </c>
      <c r="J474" s="53">
        <f>SUM(J472:J473)</f>
        <v>23247.68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537091.24999999814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310306.14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 t="s">
        <v>912</v>
      </c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 t="s">
        <v>915</v>
      </c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15</v>
      </c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913</v>
      </c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914</v>
      </c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4097790</v>
      </c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5</v>
      </c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1080000</v>
      </c>
      <c r="G495" s="18"/>
      <c r="H495" s="18"/>
      <c r="I495" s="18"/>
      <c r="J495" s="18"/>
      <c r="K495" s="53">
        <f>SUM(F495:J495)</f>
        <v>1080000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270000</v>
      </c>
      <c r="G497" s="18"/>
      <c r="H497" s="18"/>
      <c r="I497" s="18"/>
      <c r="J497" s="18"/>
      <c r="K497" s="53">
        <f t="shared" si="35"/>
        <v>270000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810000</v>
      </c>
      <c r="G498" s="204"/>
      <c r="H498" s="204"/>
      <c r="I498" s="204"/>
      <c r="J498" s="204"/>
      <c r="K498" s="205">
        <f t="shared" si="35"/>
        <v>810000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f>5670+5670+11238.75+11238.75+16773.75</f>
        <v>50591.25</v>
      </c>
      <c r="G499" s="18"/>
      <c r="H499" s="18"/>
      <c r="I499" s="18"/>
      <c r="J499" s="18"/>
      <c r="K499" s="53">
        <f t="shared" si="35"/>
        <v>50591.25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860591.25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860591.25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270000</v>
      </c>
      <c r="G501" s="204"/>
      <c r="H501" s="204"/>
      <c r="I501" s="204"/>
      <c r="J501" s="204"/>
      <c r="K501" s="205">
        <f t="shared" si="35"/>
        <v>270000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f>16773.75+11238.75</f>
        <v>28012.5</v>
      </c>
      <c r="G502" s="18"/>
      <c r="H502" s="18"/>
      <c r="I502" s="18"/>
      <c r="J502" s="18"/>
      <c r="K502" s="53">
        <f t="shared" si="35"/>
        <v>28012.5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298012.5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298012.5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f>132916+7932.73+130163.39+153986.32+41432+43813.95</f>
        <v>510244.39</v>
      </c>
      <c r="G521" s="18">
        <f>149059.88+1338.3+150.15+613.52+11176.84+23476.7+33092.85+28003.19+31336.36+532.19+38.5+189.34+2742.49+3268.65+7192.64+4986.07-7002.79</f>
        <v>290194.88000000006</v>
      </c>
      <c r="H521" s="18">
        <f>1152.68+10273.62+5874.96</f>
        <v>17301.260000000002</v>
      </c>
      <c r="I521" s="18">
        <f>797.13+304.04</f>
        <v>1101.17</v>
      </c>
      <c r="J521" s="18">
        <f>2404.65</f>
        <v>2404.65</v>
      </c>
      <c r="K521" s="18">
        <f>242</f>
        <v>242</v>
      </c>
      <c r="L521" s="88">
        <f>SUM(F521:K521)</f>
        <v>821488.35000000009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>
        <f>75706.25+7565.54+85566.39+912.5</f>
        <v>169750.68</v>
      </c>
      <c r="G522" s="18">
        <f>43085.06+882.69+93.9+353.57+6921.82+7443.17+10618.21+16346.97-4201.7</f>
        <v>81543.69</v>
      </c>
      <c r="H522" s="18">
        <f>1152.66+62460.12+1430+42.52+287.3</f>
        <v>65372.600000000006</v>
      </c>
      <c r="I522" s="18">
        <f>1542.53</f>
        <v>1542.53</v>
      </c>
      <c r="J522" s="18"/>
      <c r="K522" s="18"/>
      <c r="L522" s="88">
        <f>SUM(F522:K522)</f>
        <v>318209.5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f>99776+8751.04+95103.58+17597.82</f>
        <v>221228.44</v>
      </c>
      <c r="G523" s="18">
        <f>35362.67+46943.1+1355.49+114+468.24+8907.35+8450.94+11633.71+21476.04+1346.24+1888.47-6302.51</f>
        <v>131643.74</v>
      </c>
      <c r="H523" s="18">
        <f>397.53+1152.66+34726.23+353805.77+84+298.2+19296.79+4474+34.24+867</f>
        <v>415136.42</v>
      </c>
      <c r="I523" s="18">
        <f>2064.72+270+1173.33+899.97</f>
        <v>4408.0199999999995</v>
      </c>
      <c r="J523" s="18">
        <f>285+5098.05+1493</f>
        <v>6876.05</v>
      </c>
      <c r="K523" s="18">
        <f>4869.73</f>
        <v>4869.7299999999996</v>
      </c>
      <c r="L523" s="88">
        <f>SUM(F523:K523)</f>
        <v>784162.4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901223.51</v>
      </c>
      <c r="G524" s="108">
        <f t="shared" ref="G524:L524" si="36">SUM(G521:G523)</f>
        <v>503382.31000000006</v>
      </c>
      <c r="H524" s="108">
        <f t="shared" si="36"/>
        <v>497810.28</v>
      </c>
      <c r="I524" s="108">
        <f t="shared" si="36"/>
        <v>7051.7199999999993</v>
      </c>
      <c r="J524" s="108">
        <f t="shared" si="36"/>
        <v>9280.7000000000007</v>
      </c>
      <c r="K524" s="108">
        <f t="shared" si="36"/>
        <v>5111.7299999999996</v>
      </c>
      <c r="L524" s="89">
        <f t="shared" si="36"/>
        <v>1923860.25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/>
      <c r="G526" s="18"/>
      <c r="H526" s="18">
        <f>365138.39+4625.41+897+3185.26+100853.78</f>
        <v>474699.83999999997</v>
      </c>
      <c r="I526" s="18"/>
      <c r="J526" s="18"/>
      <c r="K526" s="18"/>
      <c r="L526" s="88">
        <f>SUM(F526:K526)</f>
        <v>474699.83999999997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>
        <f>89542.28+5430.92</f>
        <v>94973.2</v>
      </c>
      <c r="I527" s="18"/>
      <c r="J527" s="18"/>
      <c r="K527" s="18"/>
      <c r="L527" s="88">
        <f>SUM(F527:K527)</f>
        <v>94973.2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>
        <f>33915.7+47893+19770+82336.91+1080+240</f>
        <v>185235.61</v>
      </c>
      <c r="I528" s="18"/>
      <c r="J528" s="18"/>
      <c r="K528" s="18"/>
      <c r="L528" s="88">
        <f>SUM(F528:K528)</f>
        <v>185235.61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754908.64999999991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754908.64999999991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27999.97</v>
      </c>
      <c r="G531" s="18">
        <f>(F531*0.0765)+(F531*0.1736)</f>
        <v>7002.7924970000004</v>
      </c>
      <c r="H531" s="18"/>
      <c r="I531" s="18"/>
      <c r="J531" s="18"/>
      <c r="K531" s="18"/>
      <c r="L531" s="88">
        <f>SUM(F531:K531)</f>
        <v>35002.762497000003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>
        <v>16800.080000000002</v>
      </c>
      <c r="G532" s="18">
        <f t="shared" ref="G532:G533" si="38">(F532*0.0765)+(F532*0.1736)</f>
        <v>4201.7000080000007</v>
      </c>
      <c r="H532" s="18"/>
      <c r="I532" s="18"/>
      <c r="J532" s="18"/>
      <c r="K532" s="18"/>
      <c r="L532" s="88">
        <f>SUM(F532:K532)</f>
        <v>21001.780008000002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v>25199.95</v>
      </c>
      <c r="G533" s="18">
        <f t="shared" si="38"/>
        <v>6302.5074949999998</v>
      </c>
      <c r="H533" s="18"/>
      <c r="I533" s="18"/>
      <c r="J533" s="18"/>
      <c r="K533" s="18"/>
      <c r="L533" s="88">
        <f>SUM(F533:K533)</f>
        <v>31502.457495000002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70000</v>
      </c>
      <c r="G534" s="89">
        <f t="shared" ref="G534:L534" si="39">SUM(G531:G533)</f>
        <v>17507</v>
      </c>
      <c r="H534" s="89">
        <f t="shared" si="39"/>
        <v>0</v>
      </c>
      <c r="I534" s="89">
        <f t="shared" si="39"/>
        <v>0</v>
      </c>
      <c r="J534" s="89">
        <f t="shared" si="39"/>
        <v>0</v>
      </c>
      <c r="K534" s="89">
        <f t="shared" si="39"/>
        <v>0</v>
      </c>
      <c r="L534" s="89">
        <f t="shared" si="39"/>
        <v>87507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40">SUM(G536:G538)</f>
        <v>0</v>
      </c>
      <c r="H539" s="89">
        <f t="shared" si="40"/>
        <v>0</v>
      </c>
      <c r="I539" s="89">
        <f t="shared" si="40"/>
        <v>0</v>
      </c>
      <c r="J539" s="89">
        <f t="shared" si="40"/>
        <v>0</v>
      </c>
      <c r="K539" s="89">
        <f t="shared" si="40"/>
        <v>0</v>
      </c>
      <c r="L539" s="89">
        <f t="shared" si="40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>
        <v>33916.410000000003</v>
      </c>
      <c r="G541" s="18">
        <v>3919.5299999999997</v>
      </c>
      <c r="H541" s="18">
        <v>9600.75</v>
      </c>
      <c r="I541" s="18"/>
      <c r="J541" s="18"/>
      <c r="K541" s="18"/>
      <c r="L541" s="88">
        <f>SUM(F541:K541)</f>
        <v>47436.69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>
        <v>20188.564000000002</v>
      </c>
      <c r="G542" s="18">
        <v>2323.8880000000004</v>
      </c>
      <c r="H542" s="18">
        <v>5286.5360000000001</v>
      </c>
      <c r="I542" s="18"/>
      <c r="J542" s="18"/>
      <c r="K542" s="18"/>
      <c r="L542" s="88">
        <f>SUM(F542:K542)</f>
        <v>27798.988000000001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>
        <v>30282.846000000001</v>
      </c>
      <c r="G543" s="18">
        <v>3485.8319999999999</v>
      </c>
      <c r="H543" s="18">
        <v>7929.8040000000001</v>
      </c>
      <c r="I543" s="18"/>
      <c r="J543" s="18"/>
      <c r="K543" s="18"/>
      <c r="L543" s="88">
        <f>SUM(F543:K543)</f>
        <v>41698.482000000004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84387.82</v>
      </c>
      <c r="G544" s="193">
        <f t="shared" ref="G544:L544" si="41">SUM(G541:G543)</f>
        <v>9729.25</v>
      </c>
      <c r="H544" s="193">
        <f t="shared" si="41"/>
        <v>22817.09</v>
      </c>
      <c r="I544" s="193">
        <f t="shared" si="41"/>
        <v>0</v>
      </c>
      <c r="J544" s="193">
        <f t="shared" si="41"/>
        <v>0</v>
      </c>
      <c r="K544" s="193">
        <f t="shared" si="41"/>
        <v>0</v>
      </c>
      <c r="L544" s="193">
        <f t="shared" si="41"/>
        <v>116934.16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1055611.33</v>
      </c>
      <c r="G545" s="89">
        <f t="shared" ref="G545:L545" si="42">G524+G529+G534+G539+G544</f>
        <v>530618.56000000006</v>
      </c>
      <c r="H545" s="89">
        <f t="shared" si="42"/>
        <v>1275536.02</v>
      </c>
      <c r="I545" s="89">
        <f t="shared" si="42"/>
        <v>7051.7199999999993</v>
      </c>
      <c r="J545" s="89">
        <f t="shared" si="42"/>
        <v>9280.7000000000007</v>
      </c>
      <c r="K545" s="89">
        <f t="shared" si="42"/>
        <v>5111.7299999999996</v>
      </c>
      <c r="L545" s="89">
        <f t="shared" si="42"/>
        <v>2883210.06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821488.35000000009</v>
      </c>
      <c r="G549" s="87">
        <f>L526</f>
        <v>474699.83999999997</v>
      </c>
      <c r="H549" s="87">
        <f>L531</f>
        <v>35002.762497000003</v>
      </c>
      <c r="I549" s="87">
        <f>L536</f>
        <v>0</v>
      </c>
      <c r="J549" s="87">
        <f>L541</f>
        <v>47436.69</v>
      </c>
      <c r="K549" s="87">
        <f>SUM(F549:J549)</f>
        <v>1378627.6424969998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318209.5</v>
      </c>
      <c r="G550" s="87">
        <f>L527</f>
        <v>94973.2</v>
      </c>
      <c r="H550" s="87">
        <f>L532</f>
        <v>21001.780008000002</v>
      </c>
      <c r="I550" s="87">
        <f>L537</f>
        <v>0</v>
      </c>
      <c r="J550" s="87">
        <f>L542</f>
        <v>27798.988000000001</v>
      </c>
      <c r="K550" s="87">
        <f>SUM(F550:J550)</f>
        <v>461983.46800800005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784162.4</v>
      </c>
      <c r="G551" s="87">
        <f>L528</f>
        <v>185235.61</v>
      </c>
      <c r="H551" s="87">
        <f>L533</f>
        <v>31502.457495000002</v>
      </c>
      <c r="I551" s="87">
        <f>L538</f>
        <v>0</v>
      </c>
      <c r="J551" s="87">
        <f>L543</f>
        <v>41698.482000000004</v>
      </c>
      <c r="K551" s="87">
        <f>SUM(F551:J551)</f>
        <v>1042598.9494949999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3">SUM(F549:F551)</f>
        <v>1923860.25</v>
      </c>
      <c r="G552" s="89">
        <f t="shared" si="43"/>
        <v>754908.64999999991</v>
      </c>
      <c r="H552" s="89">
        <f t="shared" si="43"/>
        <v>87507</v>
      </c>
      <c r="I552" s="89">
        <f t="shared" si="43"/>
        <v>0</v>
      </c>
      <c r="J552" s="89">
        <f t="shared" si="43"/>
        <v>116934.16</v>
      </c>
      <c r="K552" s="89">
        <f t="shared" si="43"/>
        <v>2883210.0599999996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4">SUM(F557:F559)</f>
        <v>0</v>
      </c>
      <c r="G560" s="108">
        <f t="shared" si="44"/>
        <v>0</v>
      </c>
      <c r="H560" s="108">
        <f t="shared" si="44"/>
        <v>0</v>
      </c>
      <c r="I560" s="108">
        <f t="shared" si="44"/>
        <v>0</v>
      </c>
      <c r="J560" s="108">
        <f t="shared" si="44"/>
        <v>0</v>
      </c>
      <c r="K560" s="108">
        <f t="shared" si="44"/>
        <v>0</v>
      </c>
      <c r="L560" s="89">
        <f t="shared" si="44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5">SUM(F562:F564)</f>
        <v>0</v>
      </c>
      <c r="G565" s="89">
        <f t="shared" si="45"/>
        <v>0</v>
      </c>
      <c r="H565" s="89">
        <f t="shared" si="45"/>
        <v>0</v>
      </c>
      <c r="I565" s="89">
        <f t="shared" si="45"/>
        <v>0</v>
      </c>
      <c r="J565" s="89">
        <f t="shared" si="45"/>
        <v>0</v>
      </c>
      <c r="K565" s="89">
        <f t="shared" si="45"/>
        <v>0</v>
      </c>
      <c r="L565" s="89">
        <f t="shared" si="45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6">SUM(G567:G569)</f>
        <v>0</v>
      </c>
      <c r="H570" s="193">
        <f t="shared" si="46"/>
        <v>0</v>
      </c>
      <c r="I570" s="193">
        <f t="shared" si="46"/>
        <v>0</v>
      </c>
      <c r="J570" s="193">
        <f t="shared" si="46"/>
        <v>0</v>
      </c>
      <c r="K570" s="193">
        <f t="shared" si="46"/>
        <v>0</v>
      </c>
      <c r="L570" s="193">
        <f t="shared" si="46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7">G560+G565+G570</f>
        <v>0</v>
      </c>
      <c r="H571" s="89">
        <f t="shared" si="47"/>
        <v>0</v>
      </c>
      <c r="I571" s="89">
        <f t="shared" si="47"/>
        <v>0</v>
      </c>
      <c r="J571" s="89">
        <f t="shared" si="47"/>
        <v>0</v>
      </c>
      <c r="K571" s="89">
        <f t="shared" si="47"/>
        <v>0</v>
      </c>
      <c r="L571" s="89">
        <f t="shared" si="47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>
        <v>17027.03</v>
      </c>
      <c r="I575" s="87">
        <f>SUM(F575:H575)</f>
        <v>17027.03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8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8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8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>
        <v>34726.230000000003</v>
      </c>
      <c r="I579" s="87">
        <f t="shared" si="48"/>
        <v>34726.230000000003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8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8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10273.620000000001</v>
      </c>
      <c r="G582" s="18">
        <f>62460.12+1430</f>
        <v>63890.12</v>
      </c>
      <c r="H582" s="18">
        <v>353805.77</v>
      </c>
      <c r="I582" s="87">
        <f t="shared" si="48"/>
        <v>427969.51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8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>
        <v>23549.07</v>
      </c>
      <c r="I584" s="87">
        <f t="shared" si="48"/>
        <v>23549.07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8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8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8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f>39361.81+10490.48+28738.07+254.38+3707.72+88.56+508.6+33856.76+19990.97+230.94+21573.84+1531.06+3203.42+1151.51</f>
        <v>164688.12000000002</v>
      </c>
      <c r="I591" s="18">
        <f>98810.66</f>
        <v>98810.66</v>
      </c>
      <c r="J591" s="18">
        <v>148215.98000000001</v>
      </c>
      <c r="K591" s="104">
        <f t="shared" ref="K591:K597" si="49">SUM(H591:J591)</f>
        <v>411714.76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f>33916.41+2737.19+1182.34+9600.75</f>
        <v>47436.69</v>
      </c>
      <c r="I592" s="18">
        <f>27798.99</f>
        <v>27798.99</v>
      </c>
      <c r="J592" s="18">
        <f>41698.48</f>
        <v>41698.480000000003</v>
      </c>
      <c r="K592" s="104">
        <f t="shared" si="49"/>
        <v>116934.16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4"/>
      <c r="J593" s="18">
        <f>38565.39+2665.59+3639.09</f>
        <v>44870.069999999992</v>
      </c>
      <c r="K593" s="104">
        <f>SUM(H593:J593)</f>
        <v>44870.069999999992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>
        <f>3940.74+297.85+100.94+1616.83</f>
        <v>5956.36</v>
      </c>
      <c r="J594" s="18">
        <f>5911.11+446.77+151.41+2425.26</f>
        <v>8934.5499999999993</v>
      </c>
      <c r="K594" s="104">
        <f t="shared" si="49"/>
        <v>14890.91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/>
      <c r="I595" s="18">
        <f>3506.98+258.42+57.36+384.14</f>
        <v>4206.9000000000005</v>
      </c>
      <c r="J595" s="18">
        <f>5260.48+387.62+86.04+2115.68</f>
        <v>7849.82</v>
      </c>
      <c r="K595" s="104">
        <f t="shared" si="49"/>
        <v>12056.720000000001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9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9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212124.81000000003</v>
      </c>
      <c r="I598" s="108">
        <f>SUM(I591:I597)</f>
        <v>136772.91</v>
      </c>
      <c r="J598" s="108">
        <f>SUM(J591:J597)</f>
        <v>251568.90000000002</v>
      </c>
      <c r="K598" s="108">
        <f>SUM(K591:K597)</f>
        <v>600466.62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f>10566.69</f>
        <v>10566.69</v>
      </c>
      <c r="I604" s="18">
        <v>15916.99</v>
      </c>
      <c r="J604" s="18">
        <v>171400.77</v>
      </c>
      <c r="K604" s="104">
        <f>SUM(H604:J604)</f>
        <v>197884.44999999998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10566.69</v>
      </c>
      <c r="I605" s="108">
        <f>SUM(I602:I604)</f>
        <v>15916.99</v>
      </c>
      <c r="J605" s="108">
        <f>SUM(J602:J604)</f>
        <v>171400.77</v>
      </c>
      <c r="K605" s="108">
        <f>SUM(K602:K604)</f>
        <v>197884.44999999998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f>1270.75+10182.5+1411.47</f>
        <v>12864.72</v>
      </c>
      <c r="G611" s="18">
        <f>97.22+(F611*0.1736)+778.98+107.98</f>
        <v>3217.4953919999998</v>
      </c>
      <c r="H611" s="18"/>
      <c r="I611" s="18">
        <v>1968.18</v>
      </c>
      <c r="J611" s="18"/>
      <c r="K611" s="18"/>
      <c r="L611" s="88">
        <f>SUM(F611:K611)</f>
        <v>18050.395391999999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>
        <f>(11824.09+2182.71)*0.4</f>
        <v>5602.72</v>
      </c>
      <c r="G612" s="18">
        <f>(904.56+1789.68+161.97)*0.4</f>
        <v>1142.4839999999999</v>
      </c>
      <c r="H612" s="18">
        <f>2149.08</f>
        <v>2149.08</v>
      </c>
      <c r="I612" s="18">
        <v>688.5</v>
      </c>
      <c r="J612" s="18"/>
      <c r="K612" s="18"/>
      <c r="L612" s="88">
        <f>SUM(F612:K612)</f>
        <v>9582.7839999999997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>
        <f>(11824.09+2182.71)*0.6</f>
        <v>8404.08</v>
      </c>
      <c r="G613" s="18">
        <f>(904.56+1789.68+161.97)*0.6</f>
        <v>1713.7259999999997</v>
      </c>
      <c r="H613" s="18">
        <v>686.85</v>
      </c>
      <c r="I613" s="18"/>
      <c r="J613" s="18"/>
      <c r="K613" s="18"/>
      <c r="L613" s="88">
        <f>SUM(F613:K613)</f>
        <v>10804.656000000001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50">SUM(F611:F613)</f>
        <v>26871.519999999997</v>
      </c>
      <c r="G614" s="108">
        <f t="shared" si="50"/>
        <v>6073.7053919999989</v>
      </c>
      <c r="H614" s="108">
        <f t="shared" si="50"/>
        <v>2835.93</v>
      </c>
      <c r="I614" s="108">
        <f t="shared" si="50"/>
        <v>2656.6800000000003</v>
      </c>
      <c r="J614" s="108">
        <f t="shared" si="50"/>
        <v>0</v>
      </c>
      <c r="K614" s="108">
        <f t="shared" si="50"/>
        <v>0</v>
      </c>
      <c r="L614" s="89">
        <f t="shared" si="50"/>
        <v>38437.835392000001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780075.75</v>
      </c>
      <c r="H617" s="109">
        <f>SUM(F52)</f>
        <v>780075.75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27976.06</v>
      </c>
      <c r="H618" s="109">
        <f>SUM(G52)</f>
        <v>27976.059999999998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92094.43</v>
      </c>
      <c r="H619" s="109">
        <f>SUM(H52)</f>
        <v>92094.43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310306.14</v>
      </c>
      <c r="H621" s="109">
        <f>SUM(J52)</f>
        <v>310306.14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537091.25</v>
      </c>
      <c r="H622" s="109">
        <f>F476</f>
        <v>537091.24999999814</v>
      </c>
      <c r="I622" s="121" t="s">
        <v>101</v>
      </c>
      <c r="J622" s="109">
        <f t="shared" ref="J622:J655" si="51">G622-H622</f>
        <v>1.862645149230957E-9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1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1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1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310306.14</v>
      </c>
      <c r="H626" s="109">
        <f>J476</f>
        <v>310306.14</v>
      </c>
      <c r="I626" s="140" t="s">
        <v>105</v>
      </c>
      <c r="J626" s="109">
        <f t="shared" si="51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9910971.2899999991</v>
      </c>
      <c r="H627" s="104">
        <f>SUM(F468)</f>
        <v>9910971.2899999991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235919.85</v>
      </c>
      <c r="H628" s="104">
        <f>SUM(G468)</f>
        <v>235919.85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684437.53</v>
      </c>
      <c r="H629" s="104">
        <f>SUM(H468)</f>
        <v>684437.53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75000</v>
      </c>
      <c r="H631" s="104">
        <f>SUM(J468)</f>
        <v>75000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9590286.7400000002</v>
      </c>
      <c r="H632" s="104">
        <f>SUM(F472)</f>
        <v>9590286.7400000002</v>
      </c>
      <c r="I632" s="140" t="s">
        <v>111</v>
      </c>
      <c r="J632" s="109">
        <f t="shared" si="51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684437.53</v>
      </c>
      <c r="H633" s="104">
        <f>SUM(H472)</f>
        <v>684437.53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245387.97000000003</v>
      </c>
      <c r="H635" s="104">
        <f>SUM(G472)</f>
        <v>245387.97</v>
      </c>
      <c r="I635" s="140" t="s">
        <v>114</v>
      </c>
      <c r="J635" s="109">
        <f t="shared" si="51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1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75000</v>
      </c>
      <c r="H637" s="164">
        <f>SUM(J468)</f>
        <v>75000</v>
      </c>
      <c r="I637" s="165" t="s">
        <v>110</v>
      </c>
      <c r="J637" s="151">
        <f t="shared" si="51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23247.68</v>
      </c>
      <c r="H638" s="164">
        <f>SUM(J472)</f>
        <v>23247.68</v>
      </c>
      <c r="I638" s="165" t="s">
        <v>117</v>
      </c>
      <c r="J638" s="151">
        <f t="shared" si="51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120713.62</v>
      </c>
      <c r="H639" s="104">
        <f>SUM(F461)</f>
        <v>120713.62</v>
      </c>
      <c r="I639" s="140" t="s">
        <v>851</v>
      </c>
      <c r="J639" s="109">
        <f t="shared" si="51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189592.52</v>
      </c>
      <c r="H640" s="104">
        <f>SUM(G461)</f>
        <v>189592.52</v>
      </c>
      <c r="I640" s="140" t="s">
        <v>852</v>
      </c>
      <c r="J640" s="109">
        <f t="shared" si="51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1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310306.14</v>
      </c>
      <c r="H642" s="104">
        <f>SUM(I461)</f>
        <v>310306.14</v>
      </c>
      <c r="I642" s="140" t="s">
        <v>854</v>
      </c>
      <c r="J642" s="109">
        <f t="shared" si="51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1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0</v>
      </c>
      <c r="H644" s="104">
        <f>H408</f>
        <v>0</v>
      </c>
      <c r="I644" s="140" t="s">
        <v>478</v>
      </c>
      <c r="J644" s="109">
        <f t="shared" si="51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75000</v>
      </c>
      <c r="H645" s="104">
        <f>G408</f>
        <v>75000</v>
      </c>
      <c r="I645" s="140" t="s">
        <v>479</v>
      </c>
      <c r="J645" s="109">
        <f t="shared" si="51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75000</v>
      </c>
      <c r="H646" s="104">
        <f>L408</f>
        <v>75000</v>
      </c>
      <c r="I646" s="140" t="s">
        <v>475</v>
      </c>
      <c r="J646" s="109">
        <f t="shared" si="51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600466.62</v>
      </c>
      <c r="H647" s="104">
        <f>L208+L226+L244</f>
        <v>600466.62</v>
      </c>
      <c r="I647" s="140" t="s">
        <v>394</v>
      </c>
      <c r="J647" s="109">
        <f t="shared" si="51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197884.44999999998</v>
      </c>
      <c r="H648" s="104">
        <f>(J257+J338)-(J255+J336)</f>
        <v>197884.44999999998</v>
      </c>
      <c r="I648" s="140" t="s">
        <v>697</v>
      </c>
      <c r="J648" s="109">
        <f t="shared" si="51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212124.81</v>
      </c>
      <c r="H649" s="104">
        <f>H598</f>
        <v>212124.81000000003</v>
      </c>
      <c r="I649" s="140" t="s">
        <v>386</v>
      </c>
      <c r="J649" s="109">
        <f t="shared" si="51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136772.90999999997</v>
      </c>
      <c r="H650" s="104">
        <f>I598</f>
        <v>136772.91</v>
      </c>
      <c r="I650" s="140" t="s">
        <v>387</v>
      </c>
      <c r="J650" s="109">
        <f t="shared" si="51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251568.90000000002</v>
      </c>
      <c r="H651" s="104">
        <f>J598</f>
        <v>251568.90000000002</v>
      </c>
      <c r="I651" s="140" t="s">
        <v>388</v>
      </c>
      <c r="J651" s="109">
        <f t="shared" si="51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69704.53</v>
      </c>
      <c r="H652" s="104">
        <f>K263+K345</f>
        <v>69704.53</v>
      </c>
      <c r="I652" s="140" t="s">
        <v>395</v>
      </c>
      <c r="J652" s="109">
        <f t="shared" si="51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1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1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75000</v>
      </c>
      <c r="H655" s="104">
        <f>K266+K347</f>
        <v>75000</v>
      </c>
      <c r="I655" s="140" t="s">
        <v>398</v>
      </c>
      <c r="J655" s="109">
        <f t="shared" si="51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3996181.8499999992</v>
      </c>
      <c r="G660" s="19">
        <f>(L229+L309+L359)</f>
        <v>2108174.5360000003</v>
      </c>
      <c r="H660" s="19">
        <f>(L247+L328+L360)</f>
        <v>3934915.5239999993</v>
      </c>
      <c r="I660" s="19">
        <f>SUM(F660:H660)</f>
        <v>10039271.91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27687.199845175783</v>
      </c>
      <c r="G661" s="19">
        <f>(L359/IF(SUM(L358:L360)=0,1,SUM(L358:L360))*(SUM(G97:G110)))</f>
        <v>16612.31990710547</v>
      </c>
      <c r="H661" s="19">
        <f>(L360/IF(SUM(L358:L360)=0,1,SUM(L358:L360))*(SUM(G97:G110)))</f>
        <v>26218.550247718744</v>
      </c>
      <c r="I661" s="19">
        <f>SUM(F661:H661)</f>
        <v>70518.069999999992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212113.2</v>
      </c>
      <c r="G662" s="19">
        <f>(L226+L306)-(J226+J306)</f>
        <v>140360.43</v>
      </c>
      <c r="H662" s="19">
        <f>(L244+L325)-(J244+J325)</f>
        <v>250614.09000000003</v>
      </c>
      <c r="I662" s="19">
        <f>SUM(F662:H662)</f>
        <v>603087.72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38890.705392000003</v>
      </c>
      <c r="G663" s="199">
        <f>SUM(G575:G587)+SUM(I602:I604)+L612</f>
        <v>89389.894</v>
      </c>
      <c r="H663" s="199">
        <f>SUM(H575:H587)+SUM(J602:J604)+L613</f>
        <v>611313.52599999995</v>
      </c>
      <c r="I663" s="19">
        <f>SUM(F663:H663)</f>
        <v>739594.12539199996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3717490.7447628235</v>
      </c>
      <c r="G664" s="19">
        <f>G660-SUM(G661:G663)</f>
        <v>1861811.8920928948</v>
      </c>
      <c r="H664" s="19">
        <f>H660-SUM(H661:H663)</f>
        <v>3046769.3577522803</v>
      </c>
      <c r="I664" s="19">
        <f>I660-SUM(I661:I663)</f>
        <v>8626071.9946079999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234.91</v>
      </c>
      <c r="G665" s="248">
        <v>112.25</v>
      </c>
      <c r="H665" s="248">
        <v>160.22999999999999</v>
      </c>
      <c r="I665" s="19">
        <f>SUM(F665:H665)</f>
        <v>507.39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15825.17</v>
      </c>
      <c r="G667" s="19">
        <f>ROUND(G664/G665,2)</f>
        <v>16586.3</v>
      </c>
      <c r="H667" s="19">
        <f>ROUND(H664/H665,2)</f>
        <v>19014.97</v>
      </c>
      <c r="I667" s="19">
        <f>ROUND(I664/I665,2)</f>
        <v>17000.87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-5.5</v>
      </c>
      <c r="I670" s="19">
        <f>SUM(F670:H670)</f>
        <v>-5.5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15825.17</v>
      </c>
      <c r="G672" s="19">
        <f>ROUND((G664+G669)/(G665+G670),2)</f>
        <v>16586.3</v>
      </c>
      <c r="H672" s="19">
        <f>ROUND((H664+H669)/(H665+H670),2)</f>
        <v>19690.88</v>
      </c>
      <c r="I672" s="19">
        <f>ROUND((I664+I669)/(I665+I670),2)</f>
        <v>17187.18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25" workbookViewId="0">
      <selection activeCell="C11" sqref="C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Milton SD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2055886.76</v>
      </c>
      <c r="C9" s="229">
        <f>'DOE25'!G197+'DOE25'!G215+'DOE25'!G233+'DOE25'!G276+'DOE25'!G295+'DOE25'!G314</f>
        <v>1030399.5800000001</v>
      </c>
    </row>
    <row r="10" spans="1:3" x14ac:dyDescent="0.2">
      <c r="A10" t="s">
        <v>773</v>
      </c>
      <c r="B10" s="240">
        <f>1881572.3+34874.79+58273.72</f>
        <v>1974720.81</v>
      </c>
      <c r="C10" s="240">
        <f>225199.48+97392.58+135148.71+20558.65+1781.75+7422.53+64730.57+32357.37+44696.76+328959.07+12066.02+69.3+317.71+4297.33+2656.54+10116.32+3244.24+10359.82+462.58</f>
        <v>1001837.3299999998</v>
      </c>
    </row>
    <row r="11" spans="1:3" x14ac:dyDescent="0.2">
      <c r="A11" t="s">
        <v>774</v>
      </c>
      <c r="B11" s="240">
        <f>15106.75</f>
        <v>15106.75</v>
      </c>
      <c r="C11" s="240">
        <f>4100+1469.35+3515.95+6906.55</f>
        <v>15991.849999999999</v>
      </c>
    </row>
    <row r="12" spans="1:3" x14ac:dyDescent="0.2">
      <c r="A12" t="s">
        <v>775</v>
      </c>
      <c r="B12" s="240">
        <f>66059.2</f>
        <v>66059.199999999997</v>
      </c>
      <c r="C12" s="240">
        <f>12570.4</f>
        <v>12570.4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2055886.76</v>
      </c>
      <c r="C13" s="231">
        <f>SUM(C10:C12)</f>
        <v>1030399.5799999998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971223.50999999989</v>
      </c>
      <c r="C18" s="229">
        <f>'DOE25'!G198+'DOE25'!G216+'DOE25'!G234+'DOE25'!G277+'DOE25'!G296+'DOE25'!G315</f>
        <v>535362.25</v>
      </c>
    </row>
    <row r="19" spans="1:3" x14ac:dyDescent="0.2">
      <c r="A19" t="s">
        <v>773</v>
      </c>
      <c r="B19" s="240">
        <f>41432+308398.25</f>
        <v>349830.25</v>
      </c>
      <c r="C19" s="240">
        <f>31336.36+58632.32+13785.4+35362.67+4108.67+396.55+1624.67+29748.5+7192.64+65826.2+1346.24+1888.47</f>
        <v>251248.69000000003</v>
      </c>
    </row>
    <row r="20" spans="1:3" x14ac:dyDescent="0.2">
      <c r="A20" t="s">
        <v>774</v>
      </c>
      <c r="B20" s="240">
        <f>354647.31+154898.82+17597.82</f>
        <v>527143.94999999995</v>
      </c>
      <c r="C20" s="240">
        <f>90427.56+29299.66+46943.1+3268.65+39370.81+55344.77+4986.07</f>
        <v>269640.62</v>
      </c>
    </row>
    <row r="21" spans="1:3" x14ac:dyDescent="0.2">
      <c r="A21" t="s">
        <v>775</v>
      </c>
      <c r="B21" s="240">
        <f>70000+24249.31</f>
        <v>94249.31</v>
      </c>
      <c r="C21" s="240">
        <f>6227.05+3298.36+4947.53</f>
        <v>14472.939999999999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971223.51</v>
      </c>
      <c r="C22" s="231">
        <f>SUM(C19:C21)</f>
        <v>535362.25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51292</v>
      </c>
      <c r="C27" s="234">
        <f>'DOE25'!G199+'DOE25'!G217+'DOE25'!G235+'DOE25'!G278+'DOE25'!G297+'DOE25'!G316</f>
        <v>17687.36</v>
      </c>
    </row>
    <row r="28" spans="1:3" x14ac:dyDescent="0.2">
      <c r="A28" t="s">
        <v>773</v>
      </c>
      <c r="B28" s="240">
        <v>51292</v>
      </c>
      <c r="C28" s="240">
        <f>3000+544.91+50.05+189.72+4153.46+8904.38+844.84</f>
        <v>17687.359999999997</v>
      </c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51292</v>
      </c>
      <c r="C31" s="231">
        <f>SUM(C28:C30)</f>
        <v>17687.359999999997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103338.62</v>
      </c>
      <c r="C36" s="235">
        <f>'DOE25'!G200+'DOE25'!G218+'DOE25'!G236+'DOE25'!G279+'DOE25'!G298+'DOE25'!G317</f>
        <v>27990.129999999997</v>
      </c>
    </row>
    <row r="37" spans="1:3" x14ac:dyDescent="0.2">
      <c r="A37" t="s">
        <v>773</v>
      </c>
      <c r="B37" s="240">
        <f>1270.75+30481.48+22006.59</f>
        <v>53758.82</v>
      </c>
      <c r="C37" s="240">
        <f>6290.44+97.22+179.29+6737.31+1683.54+3386.73+432.31+648.47</f>
        <v>19455.310000000001</v>
      </c>
    </row>
    <row r="38" spans="1:3" x14ac:dyDescent="0.2">
      <c r="A38" t="s">
        <v>774</v>
      </c>
      <c r="B38" s="240">
        <f>37214.5+9989.3</f>
        <v>47203.8</v>
      </c>
      <c r="C38" s="240">
        <f>6409.34+1909.45</f>
        <v>8318.7900000000009</v>
      </c>
    </row>
    <row r="39" spans="1:3" x14ac:dyDescent="0.2">
      <c r="A39" t="s">
        <v>775</v>
      </c>
      <c r="B39" s="240">
        <f>2376</f>
        <v>2376</v>
      </c>
      <c r="C39" s="240">
        <f>216.03</f>
        <v>216.03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103338.62</v>
      </c>
      <c r="C40" s="231">
        <f>SUM(C37:C39)</f>
        <v>27990.13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Milton SD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5871294.6999999993</v>
      </c>
      <c r="D5" s="20">
        <f>SUM('DOE25'!L197:L200)+SUM('DOE25'!L215:L218)+SUM('DOE25'!L233:L236)-F5-G5</f>
        <v>5847308.2299999995</v>
      </c>
      <c r="E5" s="243"/>
      <c r="F5" s="255">
        <f>SUM('DOE25'!J197:J200)+SUM('DOE25'!J215:J218)+SUM('DOE25'!J233:J236)</f>
        <v>18848.47</v>
      </c>
      <c r="G5" s="53">
        <f>SUM('DOE25'!K197:K200)+SUM('DOE25'!K215:K218)+SUM('DOE25'!K233:K236)</f>
        <v>5138</v>
      </c>
      <c r="H5" s="259"/>
    </row>
    <row r="6" spans="1:9" x14ac:dyDescent="0.2">
      <c r="A6" s="32">
        <v>2100</v>
      </c>
      <c r="B6" t="s">
        <v>795</v>
      </c>
      <c r="C6" s="245">
        <f t="shared" si="0"/>
        <v>449723.35000000003</v>
      </c>
      <c r="D6" s="20">
        <f>'DOE25'!L202+'DOE25'!L220+'DOE25'!L238-F6-G6</f>
        <v>448281.45</v>
      </c>
      <c r="E6" s="243"/>
      <c r="F6" s="255">
        <f>'DOE25'!J202+'DOE25'!J220+'DOE25'!J238</f>
        <v>924.9</v>
      </c>
      <c r="G6" s="53">
        <f>'DOE25'!K202+'DOE25'!K220+'DOE25'!K238</f>
        <v>517</v>
      </c>
      <c r="H6" s="259"/>
    </row>
    <row r="7" spans="1:9" x14ac:dyDescent="0.2">
      <c r="A7" s="32">
        <v>2200</v>
      </c>
      <c r="B7" t="s">
        <v>828</v>
      </c>
      <c r="C7" s="245">
        <f t="shared" si="0"/>
        <v>173755.90000000002</v>
      </c>
      <c r="D7" s="20">
        <f>'DOE25'!L203+'DOE25'!L221+'DOE25'!L239-F7-G7</f>
        <v>173755.90000000002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150723.6700000001</v>
      </c>
      <c r="D8" s="243"/>
      <c r="E8" s="20">
        <f>'DOE25'!L204+'DOE25'!L222+'DOE25'!L240-F8-G8-D9-D11</f>
        <v>148614.1400000001</v>
      </c>
      <c r="F8" s="255">
        <f>'DOE25'!J204+'DOE25'!J222+'DOE25'!J240</f>
        <v>634.98</v>
      </c>
      <c r="G8" s="53">
        <f>'DOE25'!K204+'DOE25'!K222+'DOE25'!K240</f>
        <v>1474.55</v>
      </c>
      <c r="H8" s="259"/>
    </row>
    <row r="9" spans="1:9" x14ac:dyDescent="0.2">
      <c r="A9" s="32">
        <v>2310</v>
      </c>
      <c r="B9" t="s">
        <v>812</v>
      </c>
      <c r="C9" s="245">
        <f t="shared" si="0"/>
        <v>67849.83</v>
      </c>
      <c r="D9" s="244">
        <v>67849.83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4664.21</v>
      </c>
      <c r="D10" s="243"/>
      <c r="E10" s="244">
        <v>4664.21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246430.83</v>
      </c>
      <c r="D11" s="244">
        <v>246430.83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648248.45000000007</v>
      </c>
      <c r="D12" s="20">
        <f>'DOE25'!L205+'DOE25'!L223+'DOE25'!L241-F12-G12</f>
        <v>647439.08000000007</v>
      </c>
      <c r="E12" s="243"/>
      <c r="F12" s="255">
        <f>'DOE25'!J205+'DOE25'!J223+'DOE25'!J241</f>
        <v>43.03</v>
      </c>
      <c r="G12" s="53">
        <f>'DOE25'!K205+'DOE25'!K223+'DOE25'!K241</f>
        <v>766.33999999999992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811811.39999999991</v>
      </c>
      <c r="D14" s="20">
        <f>'DOE25'!L207+'DOE25'!L225+'DOE25'!L243-F14-G14</f>
        <v>807966.1399999999</v>
      </c>
      <c r="E14" s="243"/>
      <c r="F14" s="255">
        <f>'DOE25'!J207+'DOE25'!J225+'DOE25'!J243</f>
        <v>3720.26</v>
      </c>
      <c r="G14" s="53">
        <f>'DOE25'!K207+'DOE25'!K225+'DOE25'!K243</f>
        <v>125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600466.62</v>
      </c>
      <c r="D15" s="20">
        <f>'DOE25'!L208+'DOE25'!L226+'DOE25'!L244-F15-G15</f>
        <v>589408.27999999991</v>
      </c>
      <c r="E15" s="243"/>
      <c r="F15" s="255">
        <f>'DOE25'!J208+'DOE25'!J226+'DOE25'!J244</f>
        <v>3796.67</v>
      </c>
      <c r="G15" s="53">
        <f>'DOE25'!K208+'DOE25'!K226+'DOE25'!K244</f>
        <v>7261.67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89141.66</v>
      </c>
      <c r="D16" s="243"/>
      <c r="E16" s="20">
        <f>'DOE25'!L209+'DOE25'!L227+'DOE25'!L245-F16-G16</f>
        <v>88721.91</v>
      </c>
      <c r="F16" s="255">
        <f>'DOE25'!J209+'DOE25'!J227+'DOE25'!J245</f>
        <v>419.75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32660.3</v>
      </c>
      <c r="D22" s="243"/>
      <c r="E22" s="243"/>
      <c r="F22" s="255">
        <f>'DOE25'!L255+'DOE25'!L336</f>
        <v>32660.3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303475.5</v>
      </c>
      <c r="D25" s="243"/>
      <c r="E25" s="243"/>
      <c r="F25" s="258"/>
      <c r="G25" s="256"/>
      <c r="H25" s="257">
        <f>'DOE25'!L260+'DOE25'!L261+'DOE25'!L341+'DOE25'!L342</f>
        <v>303475.5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245387.97000000003</v>
      </c>
      <c r="D29" s="20">
        <f>'DOE25'!L358+'DOE25'!L359+'DOE25'!L360-'DOE25'!I367-F29-G29</f>
        <v>245387.97000000003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684437.53</v>
      </c>
      <c r="D31" s="20">
        <f>'DOE25'!L290+'DOE25'!L309+'DOE25'!L328+'DOE25'!L333+'DOE25'!L334+'DOE25'!L335-F31-G31</f>
        <v>507489.41000000003</v>
      </c>
      <c r="E31" s="243"/>
      <c r="F31" s="255">
        <f>'DOE25'!J290+'DOE25'!J309+'DOE25'!J328+'DOE25'!J333+'DOE25'!J334+'DOE25'!J335</f>
        <v>169496.38999999998</v>
      </c>
      <c r="G31" s="53">
        <f>'DOE25'!K290+'DOE25'!K309+'DOE25'!K328+'DOE25'!K333+'DOE25'!K334+'DOE25'!K335</f>
        <v>7451.73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9581317.120000001</v>
      </c>
      <c r="E33" s="246">
        <f>SUM(E5:E31)</f>
        <v>242000.2600000001</v>
      </c>
      <c r="F33" s="246">
        <f>SUM(F5:F31)</f>
        <v>230544.75</v>
      </c>
      <c r="G33" s="246">
        <f>SUM(G5:G31)</f>
        <v>22734.29</v>
      </c>
      <c r="H33" s="246">
        <f>SUM(H5:H31)</f>
        <v>303475.5</v>
      </c>
    </row>
    <row r="35" spans="2:8" ht="12" thickBot="1" x14ac:dyDescent="0.25">
      <c r="B35" s="253" t="s">
        <v>841</v>
      </c>
      <c r="D35" s="254">
        <f>E33</f>
        <v>242000.2600000001</v>
      </c>
      <c r="E35" s="249"/>
    </row>
    <row r="36" spans="2:8" ht="12" thickTop="1" x14ac:dyDescent="0.2">
      <c r="B36" t="s">
        <v>809</v>
      </c>
      <c r="D36" s="20">
        <f>D33</f>
        <v>9581317.120000001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117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Milton SD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686407.92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310306.14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6392.11</v>
      </c>
      <c r="E12" s="95">
        <f>'DOE25'!H13</f>
        <v>92094.43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93667.83</v>
      </c>
      <c r="D13" s="95">
        <f>'DOE25'!G14</f>
        <v>21583.95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780075.75</v>
      </c>
      <c r="D18" s="41">
        <f>SUM(D8:D17)</f>
        <v>27976.06</v>
      </c>
      <c r="E18" s="41">
        <f>SUM(E8:E17)</f>
        <v>92094.43</v>
      </c>
      <c r="F18" s="41">
        <f>SUM(F8:F17)</f>
        <v>0</v>
      </c>
      <c r="G18" s="41">
        <f>SUM(G8:G17)</f>
        <v>310306.14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-96459.32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22750.48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56126.86</v>
      </c>
      <c r="D23" s="95">
        <f>'DOE25'!G24</f>
        <v>5225.58</v>
      </c>
      <c r="E23" s="95">
        <f>'DOE25'!H24</f>
        <v>92094.43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283316.96000000002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242984.5</v>
      </c>
      <c r="D31" s="41">
        <f>SUM(D21:D30)</f>
        <v>27976.059999999998</v>
      </c>
      <c r="E31" s="41">
        <f>SUM(E21:E30)</f>
        <v>92094.43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171607.28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310306.14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365483.97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537091.25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310306.14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780075.75</v>
      </c>
      <c r="D51" s="41">
        <f>D50+D31</f>
        <v>27976.059999999998</v>
      </c>
      <c r="E51" s="41">
        <f>E50+E31</f>
        <v>92094.43</v>
      </c>
      <c r="F51" s="41">
        <f>F50+F31</f>
        <v>0</v>
      </c>
      <c r="G51" s="41">
        <f>G50+G31</f>
        <v>310306.14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5756037.1699999999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6042.06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26354.05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70518.070000000007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191075.46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223471.57</v>
      </c>
      <c r="D62" s="130">
        <f>SUM(D57:D61)</f>
        <v>70518.070000000007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5979508.7400000002</v>
      </c>
      <c r="D63" s="22">
        <f>D56+D62</f>
        <v>70518.070000000007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2797463.25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830130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7114.02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3634707.27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177046.77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0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6008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3282.2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183054.77</v>
      </c>
      <c r="D78" s="130">
        <f>SUM(D72:D77)</f>
        <v>3282.2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3817762.04</v>
      </c>
      <c r="D81" s="130">
        <f>SUM(D79:D80)+D78+D70</f>
        <v>3282.2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101114.88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113700.51</v>
      </c>
      <c r="D88" s="95">
        <f>SUM('DOE25'!G153:G161)</f>
        <v>92415.05</v>
      </c>
      <c r="E88" s="95">
        <f>SUM('DOE25'!H153:H161)</f>
        <v>583322.65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113700.51</v>
      </c>
      <c r="D91" s="131">
        <f>SUM(D85:D90)</f>
        <v>92415.05</v>
      </c>
      <c r="E91" s="131">
        <f>SUM(E85:E90)</f>
        <v>684437.53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69704.53</v>
      </c>
      <c r="E96" s="95">
        <f>'DOE25'!H179</f>
        <v>0</v>
      </c>
      <c r="F96" s="95">
        <f>'DOE25'!I179</f>
        <v>0</v>
      </c>
      <c r="G96" s="95">
        <f>'DOE25'!J179</f>
        <v>75000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69704.53</v>
      </c>
      <c r="E103" s="86">
        <f>SUM(E93:E102)</f>
        <v>0</v>
      </c>
      <c r="F103" s="86">
        <f>SUM(F93:F102)</f>
        <v>0</v>
      </c>
      <c r="G103" s="86">
        <f>SUM(G93:G102)</f>
        <v>75000</v>
      </c>
    </row>
    <row r="104" spans="1:7" ht="12.75" thickTop="1" thickBot="1" x14ac:dyDescent="0.25">
      <c r="A104" s="33" t="s">
        <v>759</v>
      </c>
      <c r="C104" s="86">
        <f>C63+C81+C91+C103</f>
        <v>9910971.290000001</v>
      </c>
      <c r="D104" s="86">
        <f>D63+D81+D91+D103</f>
        <v>235919.85</v>
      </c>
      <c r="E104" s="86">
        <f>E63+E81+E91+E103</f>
        <v>684437.53</v>
      </c>
      <c r="F104" s="86">
        <f>F63+F81+F91+F103</f>
        <v>0</v>
      </c>
      <c r="G104" s="86">
        <f>G63+G81+G103</f>
        <v>75000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3080269.37</v>
      </c>
      <c r="D109" s="24" t="s">
        <v>286</v>
      </c>
      <c r="E109" s="95">
        <f>('DOE25'!L276)+('DOE25'!L295)+('DOE25'!L314)</f>
        <v>308450.28000000003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2559921.0699999994</v>
      </c>
      <c r="D110" s="24" t="s">
        <v>286</v>
      </c>
      <c r="E110" s="95">
        <f>('DOE25'!L277)+('DOE25'!L296)+('DOE25'!L315)</f>
        <v>220827.77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93546.52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137557.74</v>
      </c>
      <c r="D112" s="24" t="s">
        <v>286</v>
      </c>
      <c r="E112" s="95">
        <f>+('DOE25'!L279)+('DOE25'!L298)+('DOE25'!L317)</f>
        <v>27076.86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5871294.6999999993</v>
      </c>
      <c r="D115" s="86">
        <f>SUM(D109:D114)</f>
        <v>0</v>
      </c>
      <c r="E115" s="86">
        <f>SUM(E109:E114)</f>
        <v>556354.91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449723.35000000003</v>
      </c>
      <c r="D118" s="24" t="s">
        <v>286</v>
      </c>
      <c r="E118" s="95">
        <f>+('DOE25'!L281)+('DOE25'!L300)+('DOE25'!L319)</f>
        <v>56705.119999999995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173755.90000000002</v>
      </c>
      <c r="D119" s="24" t="s">
        <v>286</v>
      </c>
      <c r="E119" s="95">
        <f>+('DOE25'!L282)+('DOE25'!L301)+('DOE25'!L320)</f>
        <v>58890.229999999996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465004.33000000007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648248.45000000007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6069.5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811811.39999999991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600466.62</v>
      </c>
      <c r="D124" s="24" t="s">
        <v>286</v>
      </c>
      <c r="E124" s="95">
        <f>+('DOE25'!L287)+('DOE25'!L306)+('DOE25'!L325)</f>
        <v>6417.77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89141.66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245387.97000000003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3238151.7100000004</v>
      </c>
      <c r="D128" s="86">
        <f>SUM(D118:D127)</f>
        <v>245387.97000000003</v>
      </c>
      <c r="E128" s="86">
        <f>SUM(E118:E127)</f>
        <v>128082.62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32660.3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270000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33475.5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69704.53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50000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25000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0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480840.32999999996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9590286.7400000002</v>
      </c>
      <c r="D145" s="86">
        <f>(D115+D128+D144)</f>
        <v>245387.97000000003</v>
      </c>
      <c r="E145" s="86">
        <f>(E115+E128+E144)</f>
        <v>684437.53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15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08/05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08/20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4097790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5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1080000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1080000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270000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270000</v>
      </c>
    </row>
    <row r="159" spans="1:9" x14ac:dyDescent="0.2">
      <c r="A159" s="22" t="s">
        <v>35</v>
      </c>
      <c r="B159" s="137">
        <f>'DOE25'!F498</f>
        <v>810000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810000</v>
      </c>
    </row>
    <row r="160" spans="1:9" x14ac:dyDescent="0.2">
      <c r="A160" s="22" t="s">
        <v>36</v>
      </c>
      <c r="B160" s="137">
        <f>'DOE25'!F499</f>
        <v>50591.25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50591.25</v>
      </c>
    </row>
    <row r="161" spans="1:7" x14ac:dyDescent="0.2">
      <c r="A161" s="22" t="s">
        <v>37</v>
      </c>
      <c r="B161" s="137">
        <f>'DOE25'!F500</f>
        <v>860591.25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860591.25</v>
      </c>
    </row>
    <row r="162" spans="1:7" x14ac:dyDescent="0.2">
      <c r="A162" s="22" t="s">
        <v>38</v>
      </c>
      <c r="B162" s="137">
        <f>'DOE25'!F501</f>
        <v>270000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270000</v>
      </c>
    </row>
    <row r="163" spans="1:7" x14ac:dyDescent="0.2">
      <c r="A163" s="22" t="s">
        <v>39</v>
      </c>
      <c r="B163" s="137">
        <f>'DOE25'!F502</f>
        <v>28012.5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28012.5</v>
      </c>
    </row>
    <row r="164" spans="1:7" x14ac:dyDescent="0.2">
      <c r="A164" s="22" t="s">
        <v>246</v>
      </c>
      <c r="B164" s="137">
        <f>'DOE25'!F503</f>
        <v>298012.5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298012.5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Milton SD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15825</v>
      </c>
    </row>
    <row r="5" spans="1:4" x14ac:dyDescent="0.2">
      <c r="B5" t="s">
        <v>698</v>
      </c>
      <c r="C5" s="179">
        <f>IF('DOE25'!G665+'DOE25'!G670=0,0,ROUND('DOE25'!G672,0))</f>
        <v>16586</v>
      </c>
    </row>
    <row r="6" spans="1:4" x14ac:dyDescent="0.2">
      <c r="B6" t="s">
        <v>62</v>
      </c>
      <c r="C6" s="179">
        <f>IF('DOE25'!H665+'DOE25'!H670=0,0,ROUND('DOE25'!H672,0))</f>
        <v>19691</v>
      </c>
    </row>
    <row r="7" spans="1:4" x14ac:dyDescent="0.2">
      <c r="B7" t="s">
        <v>699</v>
      </c>
      <c r="C7" s="179">
        <f>IF('DOE25'!I665+'DOE25'!I670=0,0,ROUND('DOE25'!I672,0))</f>
        <v>17187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3388720</v>
      </c>
      <c r="D10" s="182">
        <f>ROUND((C10/$C$28)*100,1)</f>
        <v>33.9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2780749</v>
      </c>
      <c r="D11" s="182">
        <f>ROUND((C11/$C$28)*100,1)</f>
        <v>27.8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93547</v>
      </c>
      <c r="D12" s="182">
        <f>ROUND((C12/$C$28)*100,1)</f>
        <v>0.9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164635</v>
      </c>
      <c r="D13" s="182">
        <f>ROUND((C13/$C$28)*100,1)</f>
        <v>1.6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506428</v>
      </c>
      <c r="D15" s="182">
        <f t="shared" ref="D15:D27" si="0">ROUND((C15/$C$28)*100,1)</f>
        <v>5.0999999999999996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232646</v>
      </c>
      <c r="D16" s="182">
        <f t="shared" si="0"/>
        <v>2.2999999999999998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554146</v>
      </c>
      <c r="D17" s="182">
        <f t="shared" si="0"/>
        <v>5.5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648248</v>
      </c>
      <c r="D18" s="182">
        <f t="shared" si="0"/>
        <v>6.5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6070</v>
      </c>
      <c r="D19" s="182">
        <f t="shared" si="0"/>
        <v>0.1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811811</v>
      </c>
      <c r="D20" s="182">
        <f t="shared" si="0"/>
        <v>8.1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606884</v>
      </c>
      <c r="D21" s="182">
        <f t="shared" si="0"/>
        <v>6.1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33476</v>
      </c>
      <c r="D25" s="182">
        <f t="shared" si="0"/>
        <v>0.3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174869.93</v>
      </c>
      <c r="D27" s="182">
        <f t="shared" si="0"/>
        <v>1.7</v>
      </c>
    </row>
    <row r="28" spans="1:4" x14ac:dyDescent="0.2">
      <c r="B28" s="187" t="s">
        <v>717</v>
      </c>
      <c r="C28" s="180">
        <f>SUM(C10:C27)</f>
        <v>10002229.93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32660</v>
      </c>
    </row>
    <row r="30" spans="1:4" x14ac:dyDescent="0.2">
      <c r="B30" s="187" t="s">
        <v>723</v>
      </c>
      <c r="C30" s="180">
        <f>SUM(C28:C29)</f>
        <v>10034889.93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270000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5756037</v>
      </c>
      <c r="D35" s="182">
        <f t="shared" ref="D35:D40" si="1">ROUND((C35/$C$41)*100,1)</f>
        <v>53.8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223471.73999999929</v>
      </c>
      <c r="D36" s="182">
        <f t="shared" si="1"/>
        <v>2.1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3627593</v>
      </c>
      <c r="D37" s="182">
        <f t="shared" si="1"/>
        <v>33.9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193451</v>
      </c>
      <c r="D38" s="182">
        <f t="shared" si="1"/>
        <v>1.8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890553</v>
      </c>
      <c r="D39" s="182">
        <f t="shared" si="1"/>
        <v>8.3000000000000007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10691105.739999998</v>
      </c>
      <c r="D41" s="184">
        <f>SUM(D35:D40)</f>
        <v>99.899999999999991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22" sqref="C22:M22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Milton SD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2018-08-14T18:47:19Z</cp:lastPrinted>
  <dcterms:created xsi:type="dcterms:W3CDTF">1997-12-04T19:04:30Z</dcterms:created>
  <dcterms:modified xsi:type="dcterms:W3CDTF">2018-12-03T19:45:57Z</dcterms:modified>
</cp:coreProperties>
</file>