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800" windowHeight="117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155" i="1" l="1"/>
  <c r="H159" i="1"/>
  <c r="F120" i="1"/>
  <c r="F117" i="1"/>
  <c r="G197" i="1" l="1"/>
  <c r="F28" i="1"/>
  <c r="J591" i="1" l="1"/>
  <c r="I591" i="1"/>
  <c r="H591" i="1"/>
  <c r="H604" i="1"/>
  <c r="F459" i="1"/>
  <c r="G459" i="1"/>
  <c r="F442" i="1"/>
  <c r="F368" i="1"/>
  <c r="F14" i="1"/>
  <c r="G198" i="1"/>
  <c r="F198" i="1"/>
  <c r="H197" i="1"/>
  <c r="F197" i="1"/>
  <c r="F110" i="1"/>
  <c r="I279" i="1"/>
  <c r="G279" i="1"/>
  <c r="F279" i="1"/>
  <c r="M323" i="1"/>
  <c r="M325" i="1"/>
  <c r="M322" i="1"/>
  <c r="M321" i="1"/>
  <c r="M320" i="1"/>
  <c r="M319" i="1"/>
  <c r="H102" i="1"/>
  <c r="H98" i="1"/>
  <c r="H198" i="1" l="1"/>
  <c r="F12" i="1"/>
  <c r="G40" i="1"/>
  <c r="G14" i="1"/>
  <c r="F22" i="1"/>
  <c r="G12" i="1"/>
  <c r="J472" i="1" l="1"/>
  <c r="H395" i="1"/>
  <c r="G442" i="1"/>
  <c r="I472" i="1"/>
  <c r="I468" i="1"/>
  <c r="H379" i="1"/>
  <c r="G472" i="1"/>
  <c r="G468" i="1"/>
  <c r="K358" i="1"/>
  <c r="F13" i="1" l="1"/>
  <c r="H400" i="1" l="1"/>
  <c r="H287" i="1" l="1"/>
  <c r="G322" i="1"/>
  <c r="F322" i="1"/>
  <c r="G303" i="1"/>
  <c r="F303" i="1"/>
  <c r="G284" i="1"/>
  <c r="F284" i="1"/>
  <c r="G283" i="1"/>
  <c r="F283" i="1"/>
  <c r="F321" i="1"/>
  <c r="G321" i="1"/>
  <c r="G302" i="1"/>
  <c r="F302" i="1"/>
  <c r="H282" i="1"/>
  <c r="J282" i="1"/>
  <c r="I282" i="1"/>
  <c r="G333" i="1"/>
  <c r="F243" i="1"/>
  <c r="F207" i="1"/>
  <c r="J243" i="1"/>
  <c r="I243" i="1"/>
  <c r="H243" i="1"/>
  <c r="G243" i="1"/>
  <c r="J225" i="1"/>
  <c r="I225" i="1"/>
  <c r="H225" i="1"/>
  <c r="G225" i="1"/>
  <c r="F225" i="1"/>
  <c r="J207" i="1"/>
  <c r="I207" i="1"/>
  <c r="H207" i="1"/>
  <c r="G207" i="1"/>
  <c r="F205" i="1"/>
  <c r="H241" i="1"/>
  <c r="G241" i="1"/>
  <c r="F241" i="1"/>
  <c r="K223" i="1"/>
  <c r="J223" i="1"/>
  <c r="I223" i="1"/>
  <c r="H223" i="1"/>
  <c r="G223" i="1"/>
  <c r="F223" i="1"/>
  <c r="H205" i="1"/>
  <c r="G205" i="1"/>
  <c r="F239" i="1"/>
  <c r="I239" i="1"/>
  <c r="H239" i="1"/>
  <c r="G239" i="1"/>
  <c r="K221" i="1"/>
  <c r="J221" i="1"/>
  <c r="I221" i="1"/>
  <c r="H221" i="1"/>
  <c r="G221" i="1"/>
  <c r="F221" i="1"/>
  <c r="I203" i="1"/>
  <c r="G203" i="1"/>
  <c r="F203" i="1"/>
  <c r="F202" i="1"/>
  <c r="I220" i="1"/>
  <c r="I238" i="1"/>
  <c r="H238" i="1"/>
  <c r="G238" i="1"/>
  <c r="F238" i="1"/>
  <c r="J220" i="1"/>
  <c r="H220" i="1"/>
  <c r="G220" i="1"/>
  <c r="F220" i="1"/>
  <c r="I202" i="1"/>
  <c r="H202" i="1"/>
  <c r="G202" i="1"/>
  <c r="K198" i="1"/>
  <c r="K521" i="1" s="1"/>
  <c r="J198" i="1"/>
  <c r="J521" i="1" s="1"/>
  <c r="I198" i="1"/>
  <c r="I521" i="1" s="1"/>
  <c r="H521" i="1"/>
  <c r="G521" i="1"/>
  <c r="F521" i="1"/>
  <c r="K234" i="1"/>
  <c r="K523" i="1" s="1"/>
  <c r="J234" i="1"/>
  <c r="J523" i="1" s="1"/>
  <c r="I234" i="1"/>
  <c r="I523" i="1" s="1"/>
  <c r="H234" i="1"/>
  <c r="H523" i="1" s="1"/>
  <c r="G234" i="1"/>
  <c r="G523" i="1" s="1"/>
  <c r="F234" i="1"/>
  <c r="F523" i="1" s="1"/>
  <c r="K216" i="1"/>
  <c r="K522" i="1" s="1"/>
  <c r="J216" i="1"/>
  <c r="J522" i="1" s="1"/>
  <c r="I216" i="1"/>
  <c r="I522" i="1" s="1"/>
  <c r="H216" i="1"/>
  <c r="H522" i="1" s="1"/>
  <c r="G216" i="1"/>
  <c r="G522" i="1" s="1"/>
  <c r="F216" i="1"/>
  <c r="F522" i="1" s="1"/>
  <c r="K233" i="1"/>
  <c r="J233" i="1"/>
  <c r="I233" i="1"/>
  <c r="H233" i="1"/>
  <c r="G233" i="1"/>
  <c r="F233" i="1"/>
  <c r="K215" i="1"/>
  <c r="J215" i="1"/>
  <c r="I215" i="1"/>
  <c r="H215" i="1"/>
  <c r="G215" i="1"/>
  <c r="F215" i="1"/>
  <c r="K197" i="1"/>
  <c r="J197" i="1"/>
  <c r="G200" i="1" l="1"/>
  <c r="I197" i="1"/>
  <c r="G158" i="1"/>
  <c r="H24" i="1"/>
  <c r="G24" i="1"/>
  <c r="G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D18" i="13" s="1"/>
  <c r="C18" i="13" s="1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M318" i="1" s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C32" i="10" s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E56" i="2" s="1"/>
  <c r="I60" i="1"/>
  <c r="F56" i="2" s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C85" i="2" s="1"/>
  <c r="F162" i="1"/>
  <c r="G147" i="1"/>
  <c r="G162" i="1"/>
  <c r="H147" i="1"/>
  <c r="E85" i="2" s="1"/>
  <c r="H162" i="1"/>
  <c r="I147" i="1"/>
  <c r="I162" i="1"/>
  <c r="L250" i="1"/>
  <c r="C113" i="2" s="1"/>
  <c r="L332" i="1"/>
  <c r="E113" i="2" s="1"/>
  <c r="L254" i="1"/>
  <c r="L268" i="1"/>
  <c r="C142" i="2" s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F130" i="2" s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551" i="1" s="1"/>
  <c r="E131" i="2"/>
  <c r="K270" i="1"/>
  <c r="J270" i="1"/>
  <c r="I270" i="1"/>
  <c r="H270" i="1"/>
  <c r="G270" i="1"/>
  <c r="F270" i="1"/>
  <c r="L270" i="1" s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8" i="2"/>
  <c r="E58" i="2"/>
  <c r="C59" i="2"/>
  <c r="D59" i="2"/>
  <c r="E59" i="2"/>
  <c r="F59" i="2"/>
  <c r="D60" i="2"/>
  <c r="C61" i="2"/>
  <c r="D61" i="2"/>
  <c r="D62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F78" i="2" s="1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2" i="2"/>
  <c r="D115" i="2"/>
  <c r="F115" i="2"/>
  <c r="G115" i="2"/>
  <c r="E119" i="2"/>
  <c r="E120" i="2"/>
  <c r="E123" i="2"/>
  <c r="F128" i="2"/>
  <c r="G128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H461" i="1"/>
  <c r="H641" i="1" s="1"/>
  <c r="G470" i="1"/>
  <c r="I470" i="1"/>
  <c r="G474" i="1"/>
  <c r="G476" i="1" s="1"/>
  <c r="H623" i="1" s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5" i="1"/>
  <c r="H628" i="1"/>
  <c r="H630" i="1"/>
  <c r="H635" i="1"/>
  <c r="H636" i="1"/>
  <c r="H638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D50" i="2"/>
  <c r="G156" i="2"/>
  <c r="G62" i="2"/>
  <c r="D19" i="13"/>
  <c r="C19" i="13" s="1"/>
  <c r="E78" i="2"/>
  <c r="I169" i="1"/>
  <c r="J140" i="1"/>
  <c r="G192" i="1"/>
  <c r="H192" i="1"/>
  <c r="F461" i="1" l="1"/>
  <c r="H639" i="1" s="1"/>
  <c r="F112" i="1"/>
  <c r="L351" i="1"/>
  <c r="J651" i="1"/>
  <c r="J625" i="1"/>
  <c r="L256" i="1"/>
  <c r="J643" i="1"/>
  <c r="D81" i="2"/>
  <c r="C70" i="2"/>
  <c r="D63" i="2"/>
  <c r="G645" i="1"/>
  <c r="J645" i="1" s="1"/>
  <c r="G545" i="1"/>
  <c r="G164" i="2"/>
  <c r="G161" i="2"/>
  <c r="G81" i="2"/>
  <c r="F18" i="2"/>
  <c r="H25" i="13"/>
  <c r="L614" i="1"/>
  <c r="H571" i="1"/>
  <c r="I571" i="1"/>
  <c r="J639" i="1"/>
  <c r="L433" i="1"/>
  <c r="L427" i="1"/>
  <c r="L419" i="1"/>
  <c r="I52" i="1"/>
  <c r="H620" i="1" s="1"/>
  <c r="J620" i="1" s="1"/>
  <c r="G157" i="2"/>
  <c r="E103" i="2"/>
  <c r="D18" i="2"/>
  <c r="H169" i="1"/>
  <c r="F169" i="1"/>
  <c r="C35" i="10"/>
  <c r="A31" i="12"/>
  <c r="A40" i="12"/>
  <c r="L362" i="1"/>
  <c r="C27" i="10" s="1"/>
  <c r="E114" i="2"/>
  <c r="L309" i="1"/>
  <c r="E122" i="2"/>
  <c r="E118" i="2"/>
  <c r="C114" i="2"/>
  <c r="C91" i="2"/>
  <c r="G112" i="1"/>
  <c r="L401" i="1"/>
  <c r="C139" i="2" s="1"/>
  <c r="L393" i="1"/>
  <c r="C138" i="2" s="1"/>
  <c r="E125" i="2"/>
  <c r="E121" i="2"/>
  <c r="D17" i="13"/>
  <c r="C17" i="13" s="1"/>
  <c r="I552" i="1"/>
  <c r="K605" i="1"/>
  <c r="G648" i="1" s="1"/>
  <c r="E62" i="2"/>
  <c r="E63" i="2" s="1"/>
  <c r="E109" i="2"/>
  <c r="C12" i="10"/>
  <c r="F22" i="13"/>
  <c r="C22" i="13" s="1"/>
  <c r="C29" i="10"/>
  <c r="H112" i="1"/>
  <c r="F81" i="2"/>
  <c r="C26" i="10"/>
  <c r="L539" i="1"/>
  <c r="I460" i="1"/>
  <c r="I452" i="1"/>
  <c r="I446" i="1"/>
  <c r="G642" i="1" s="1"/>
  <c r="C56" i="2"/>
  <c r="J640" i="1"/>
  <c r="J571" i="1"/>
  <c r="F571" i="1"/>
  <c r="L529" i="1"/>
  <c r="J641" i="1"/>
  <c r="L382" i="1"/>
  <c r="G636" i="1" s="1"/>
  <c r="J636" i="1" s="1"/>
  <c r="E31" i="2"/>
  <c r="C25" i="10"/>
  <c r="A13" i="12"/>
  <c r="C125" i="2"/>
  <c r="E81" i="2"/>
  <c r="J644" i="1"/>
  <c r="K503" i="1"/>
  <c r="J338" i="1"/>
  <c r="J352" i="1" s="1"/>
  <c r="F192" i="1"/>
  <c r="C18" i="2"/>
  <c r="K598" i="1"/>
  <c r="G647" i="1" s="1"/>
  <c r="J647" i="1" s="1"/>
  <c r="L565" i="1"/>
  <c r="L571" i="1" s="1"/>
  <c r="L544" i="1"/>
  <c r="J552" i="1"/>
  <c r="K549" i="1"/>
  <c r="K552" i="1" s="1"/>
  <c r="H545" i="1"/>
  <c r="H552" i="1"/>
  <c r="K545" i="1"/>
  <c r="L534" i="1"/>
  <c r="G552" i="1"/>
  <c r="K550" i="1"/>
  <c r="I545" i="1"/>
  <c r="L524" i="1"/>
  <c r="F552" i="1"/>
  <c r="J545" i="1"/>
  <c r="J634" i="1"/>
  <c r="F661" i="1"/>
  <c r="D29" i="13"/>
  <c r="C29" i="13" s="1"/>
  <c r="D127" i="2"/>
  <c r="D128" i="2" s="1"/>
  <c r="D145" i="2" s="1"/>
  <c r="G661" i="1"/>
  <c r="H661" i="1"/>
  <c r="L328" i="1"/>
  <c r="G662" i="1"/>
  <c r="K338" i="1"/>
  <c r="K352" i="1" s="1"/>
  <c r="G338" i="1"/>
  <c r="G352" i="1" s="1"/>
  <c r="F338" i="1"/>
  <c r="F352" i="1" s="1"/>
  <c r="L290" i="1"/>
  <c r="E16" i="13"/>
  <c r="C16" i="13" s="1"/>
  <c r="I257" i="1"/>
  <c r="I271" i="1" s="1"/>
  <c r="H647" i="1"/>
  <c r="C124" i="2"/>
  <c r="C21" i="10"/>
  <c r="D15" i="13"/>
  <c r="C15" i="13" s="1"/>
  <c r="G649" i="1"/>
  <c r="J649" i="1" s="1"/>
  <c r="F662" i="1"/>
  <c r="F257" i="1"/>
  <c r="F271" i="1" s="1"/>
  <c r="C20" i="10"/>
  <c r="D14" i="13"/>
  <c r="C14" i="13" s="1"/>
  <c r="C123" i="2"/>
  <c r="C19" i="10"/>
  <c r="E13" i="13"/>
  <c r="C13" i="13" s="1"/>
  <c r="C122" i="2"/>
  <c r="C18" i="10"/>
  <c r="C120" i="2"/>
  <c r="C17" i="10"/>
  <c r="C16" i="10"/>
  <c r="C119" i="2"/>
  <c r="D7" i="13"/>
  <c r="C7" i="13" s="1"/>
  <c r="C118" i="2"/>
  <c r="C13" i="10"/>
  <c r="C15" i="10"/>
  <c r="C111" i="2"/>
  <c r="L247" i="1"/>
  <c r="H660" i="1" s="1"/>
  <c r="L229" i="1"/>
  <c r="G660" i="1" s="1"/>
  <c r="C110" i="2"/>
  <c r="K257" i="1"/>
  <c r="K271" i="1" s="1"/>
  <c r="J257" i="1"/>
  <c r="J271" i="1" s="1"/>
  <c r="H257" i="1"/>
  <c r="H271" i="1" s="1"/>
  <c r="G257" i="1"/>
  <c r="G271" i="1" s="1"/>
  <c r="C10" i="10"/>
  <c r="E8" i="13"/>
  <c r="C8" i="13" s="1"/>
  <c r="D12" i="13"/>
  <c r="C12" i="13" s="1"/>
  <c r="C121" i="2"/>
  <c r="D6" i="13"/>
  <c r="C6" i="13" s="1"/>
  <c r="C112" i="2"/>
  <c r="C11" i="10"/>
  <c r="D5" i="13"/>
  <c r="C5" i="13" s="1"/>
  <c r="C109" i="2"/>
  <c r="L211" i="1"/>
  <c r="J623" i="1"/>
  <c r="D31" i="2"/>
  <c r="D51" i="2" s="1"/>
  <c r="J617" i="1"/>
  <c r="G624" i="1"/>
  <c r="K500" i="1"/>
  <c r="C78" i="2"/>
  <c r="C81" i="2" s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169" i="1"/>
  <c r="G140" i="1"/>
  <c r="F140" i="1"/>
  <c r="G63" i="2"/>
  <c r="G104" i="2" s="1"/>
  <c r="J618" i="1"/>
  <c r="G42" i="2"/>
  <c r="J51" i="1"/>
  <c r="G16" i="2"/>
  <c r="G18" i="2" s="1"/>
  <c r="J19" i="1"/>
  <c r="G621" i="1" s="1"/>
  <c r="F545" i="1"/>
  <c r="H434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H193" i="1" l="1"/>
  <c r="G629" i="1" s="1"/>
  <c r="E128" i="2"/>
  <c r="C36" i="10"/>
  <c r="C39" i="10"/>
  <c r="G646" i="1"/>
  <c r="J468" i="1"/>
  <c r="I461" i="1"/>
  <c r="H642" i="1" s="1"/>
  <c r="J642" i="1" s="1"/>
  <c r="G635" i="1"/>
  <c r="J635" i="1" s="1"/>
  <c r="E115" i="2"/>
  <c r="E145" i="2" s="1"/>
  <c r="C104" i="2"/>
  <c r="C25" i="13"/>
  <c r="H33" i="13"/>
  <c r="E104" i="2"/>
  <c r="F104" i="2"/>
  <c r="F33" i="13"/>
  <c r="E51" i="2"/>
  <c r="I662" i="1"/>
  <c r="L338" i="1"/>
  <c r="L352" i="1" s="1"/>
  <c r="L545" i="1"/>
  <c r="F193" i="1"/>
  <c r="G664" i="1"/>
  <c r="G667" i="1" s="1"/>
  <c r="I661" i="1"/>
  <c r="H664" i="1"/>
  <c r="H667" i="1" s="1"/>
  <c r="D31" i="13"/>
  <c r="C31" i="13" s="1"/>
  <c r="E33" i="13"/>
  <c r="D35" i="13" s="1"/>
  <c r="C128" i="2"/>
  <c r="C115" i="2"/>
  <c r="L257" i="1"/>
  <c r="L271" i="1" s="1"/>
  <c r="H648" i="1"/>
  <c r="J648" i="1" s="1"/>
  <c r="C28" i="10"/>
  <c r="D23" i="10" s="1"/>
  <c r="F660" i="1"/>
  <c r="F664" i="1" s="1"/>
  <c r="L408" i="1"/>
  <c r="C51" i="2"/>
  <c r="G631" i="1"/>
  <c r="G193" i="1"/>
  <c r="G628" i="1" s="1"/>
  <c r="J628" i="1" s="1"/>
  <c r="G626" i="1"/>
  <c r="J52" i="1"/>
  <c r="H621" i="1" s="1"/>
  <c r="J621" i="1" s="1"/>
  <c r="C38" i="10"/>
  <c r="H468" i="1" l="1"/>
  <c r="H470" i="1" s="1"/>
  <c r="D33" i="13"/>
  <c r="D36" i="13" s="1"/>
  <c r="G633" i="1"/>
  <c r="H472" i="1"/>
  <c r="H637" i="1"/>
  <c r="H631" i="1"/>
  <c r="J631" i="1" s="1"/>
  <c r="J470" i="1"/>
  <c r="J476" i="1" s="1"/>
  <c r="H626" i="1" s="1"/>
  <c r="J626" i="1" s="1"/>
  <c r="G627" i="1"/>
  <c r="F468" i="1"/>
  <c r="G632" i="1"/>
  <c r="F472" i="1"/>
  <c r="C145" i="2"/>
  <c r="G672" i="1"/>
  <c r="C5" i="10" s="1"/>
  <c r="H672" i="1"/>
  <c r="C6" i="10" s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67" i="1"/>
  <c r="F672" i="1"/>
  <c r="C4" i="10" s="1"/>
  <c r="I660" i="1"/>
  <c r="I664" i="1" s="1"/>
  <c r="I672" i="1" s="1"/>
  <c r="C7" i="10" s="1"/>
  <c r="G637" i="1"/>
  <c r="H646" i="1"/>
  <c r="J646" i="1" s="1"/>
  <c r="C41" i="10"/>
  <c r="D38" i="10" s="1"/>
  <c r="H629" i="1" l="1"/>
  <c r="J629" i="1" s="1"/>
  <c r="H474" i="1"/>
  <c r="H476" i="1" s="1"/>
  <c r="H624" i="1" s="1"/>
  <c r="J624" i="1" s="1"/>
  <c r="H633" i="1"/>
  <c r="J633" i="1" s="1"/>
  <c r="J637" i="1"/>
  <c r="F470" i="1"/>
  <c r="H627" i="1"/>
  <c r="J627" i="1" s="1"/>
  <c r="F474" i="1"/>
  <c r="H632" i="1"/>
  <c r="J632" i="1" s="1"/>
  <c r="D28" i="10"/>
  <c r="I667" i="1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<sst xmlns="http://schemas.openxmlformats.org/spreadsheetml/2006/main" count="3957" uniqueCount="913">
  <si>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</si>
  <si>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</si>
  <si>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</si>
  <si>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</si>
  <si>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</si>
  <si>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</si>
  <si>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</si>
  <si>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</si>
  <si>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</si>
  <si>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</si>
  <si>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</si>
  <si>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</si>
  <si>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</si>
  <si>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</si>
  <si>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</si>
  <si>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</si>
  <si>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</si>
  <si>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</si>
  <si>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</si>
  <si>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</si>
  <si>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</si>
  <si>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</si>
  <si>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</si>
  <si>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</si>
  <si>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</si>
  <si>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</si>
  <si>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</si>
  <si>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</si>
  <si>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</si>
  <si>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</si>
  <si>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</si>
  <si>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</si>
  <si>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</si>
  <si>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</si>
  <si>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</si>
  <si>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</si>
  <si>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</si>
  <si>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</si>
  <si>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</si>
  <si>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</si>
  <si>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</si>
  <si>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</si>
  <si>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</si>
  <si>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</si>
  <si>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</si>
  <si>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</si>
  <si>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</si>
  <si>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</si>
  <si>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</si>
  <si>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</si>
  <si>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</si>
  <si>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</si>
  <si>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</si>
  <si>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</si>
  <si>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</si>
  <si>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</si>
  <si>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</si>
  <si>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</si>
  <si>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</si>
  <si>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</si>
  <si>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</si>
  <si>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</si>
  <si>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</si>
  <si>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</si>
  <si>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</si>
  <si>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</si>
  <si>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</si>
  <si>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</si>
  <si>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</si>
  <si>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</si>
  <si>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</si>
  <si>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</si>
  <si>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</si>
  <si>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</si>
  <si>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</si>
  <si>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</si>
  <si>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</si>
  <si>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</si>
  <si>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</si>
  <si>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</si>
  <si>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</si>
  <si>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</si>
  <si>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</si>
  <si>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</si>
  <si>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</si>
  <si>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</si>
  <si>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</si>
  <si>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</si>
  <si>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</si>
  <si>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</si>
  <si>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</si>
  <si>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</si>
  <si>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</si>
  <si>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</si>
  <si>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</si>
  <si>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</si>
  <si>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</si>
  <si>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</si>
  <si>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</si>
  <si>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</si>
  <si>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</si>
  <si>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</si>
  <si>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</si>
  <si>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</si>
  <si>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</si>
  <si>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</si>
  <si>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</si>
  <si>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</si>
  <si>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</si>
  <si>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</si>
  <si>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</si>
  <si>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</si>
  <si>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</si>
  <si>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</si>
  <si>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</si>
  <si>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</si>
  <si>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</si>
  <si>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</si>
  <si>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</si>
  <si>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</si>
  <si>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</si>
  <si>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</si>
  <si>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</si>
  <si>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</si>
  <si>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</si>
  <si>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</si>
  <si>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</si>
  <si>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</si>
  <si>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</si>
  <si>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</si>
  <si>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</si>
  <si>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</si>
  <si>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</si>
  <si>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</si>
  <si>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</si>
  <si>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</si>
  <si>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</si>
  <si>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</si>
  <si>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</si>
  <si>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</si>
  <si>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</si>
  <si>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</si>
  <si>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</si>
  <si>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</si>
  <si>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</si>
  <si>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</si>
  <si>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</si>
  <si>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</si>
  <si>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</si>
  <si>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</si>
  <si>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</si>
  <si>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</si>
  <si>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</si>
  <si>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</si>
  <si>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</si>
  <si>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</si>
  <si>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</si>
  <si>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</si>
  <si>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</si>
  <si>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</si>
  <si>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</si>
  <si>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</si>
  <si>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</si>
  <si>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</si>
  <si>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</si>
  <si>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</si>
  <si>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</si>
  <si>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</si>
  <si>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</si>
  <si>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</si>
  <si>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</si>
  <si>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</si>
  <si>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</si>
  <si>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</si>
  <si>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</si>
  <si>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</si>
  <si>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</si>
  <si>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</si>
  <si>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</si>
  <si>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</si>
  <si>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</si>
  <si>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</si>
  <si>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</si>
  <si>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</si>
  <si>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</si>
  <si>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</si>
  <si>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</si>
  <si>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</si>
  <si>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</si>
  <si>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</si>
  <si>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</si>
  <si>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</si>
  <si>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</si>
  <si>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</si>
  <si>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</si>
  <si>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</si>
  <si>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</si>
  <si>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</si>
  <si>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</si>
  <si>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</si>
  <si>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</si>
  <si>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</si>
  <si>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</si>
  <si>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</si>
  <si>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</si>
  <si>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</si>
  <si>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</si>
  <si>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</si>
  <si>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</si>
  <si>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</si>
  <si>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</si>
  <si>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</si>
  <si>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</si>
  <si>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</si>
  <si>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</si>
  <si>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</si>
  <si>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</si>
  <si>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</si>
  <si>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</si>
  <si>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</si>
  <si>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</si>
  <si>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</si>
  <si>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</si>
  <si>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</si>
  <si>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</si>
  <si>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</si>
  <si>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</si>
  <si>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</si>
  <si>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</si>
  <si>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</si>
  <si>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</si>
  <si>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</si>
  <si>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</si>
  <si>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</si>
  <si>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</si>
  <si>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</si>
  <si>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</si>
  <si>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</si>
  <si>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</si>
  <si>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</si>
  <si>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</si>
  <si>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</si>
  <si>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</si>
  <si>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</si>
  <si>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</si>
  <si>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</si>
  <si>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</si>
  <si>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</si>
  <si>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</si>
  <si>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</si>
  <si>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</si>
  <si>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</si>
  <si>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</si>
  <si>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</si>
  <si>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</si>
  <si>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</si>
  <si>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</si>
  <si>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</si>
  <si>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</si>
  <si>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</si>
  <si>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</si>
  <si>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</si>
  <si>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</si>
  <si>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</si>
  <si>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</si>
  <si>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</si>
  <si>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</si>
  <si>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</si>
  <si>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</si>
  <si>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</si>
  <si>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</si>
  <si>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</si>
  <si>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</si>
  <si>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</si>
  <si>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</si>
  <si>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</si>
  <si>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</si>
  <si>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</si>
  <si>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</si>
  <si>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</si>
  <si>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</si>
  <si>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</si>
  <si>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</si>
  <si>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</si>
  <si>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</si>
  <si>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</si>
  <si>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</si>
  <si>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</si>
  <si>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</si>
  <si>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</si>
  <si>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</si>
  <si>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</si>
  <si>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</si>
  <si>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</si>
  <si>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</si>
  <si>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</si>
  <si>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</si>
  <si>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</si>
  <si>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</si>
  <si>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</si>
  <si>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</si>
  <si>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</si>
  <si>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</si>
  <si>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</si>
  <si>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</si>
  <si>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</si>
  <si>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</si>
  <si>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</si>
  <si>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</si>
  <si>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</si>
  <si>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</si>
  <si>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</si>
  <si>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</si>
  <si>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</si>
  <si>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</si>
  <si>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</si>
  <si>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</si>
  <si>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</si>
  <si>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</si>
  <si>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</si>
  <si>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</si>
  <si>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</si>
  <si>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</si>
  <si>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</si>
  <si>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</si>
  <si>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</si>
  <si>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</si>
  <si>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</si>
  <si>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</si>
  <si>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</si>
  <si>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</si>
  <si>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</si>
  <si>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</si>
  <si>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</si>
  <si>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</si>
  <si>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</si>
  <si>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</si>
  <si>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</si>
  <si>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</si>
  <si>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</si>
  <si>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</si>
  <si>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</si>
  <si>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</si>
  <si>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</si>
  <si>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</si>
  <si>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</si>
  <si>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</si>
  <si>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</si>
  <si>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</si>
  <si>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</si>
  <si>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</si>
  <si>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</si>
  <si>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</si>
  <si>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</si>
  <si>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</si>
  <si>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</si>
  <si>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</si>
  <si>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</si>
  <si>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</si>
  <si>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</si>
  <si>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</si>
  <si>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</si>
  <si>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</si>
  <si>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</si>
  <si>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</si>
  <si>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</si>
  <si>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</si>
  <si>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</si>
  <si>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</si>
  <si>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</si>
  <si>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</si>
  <si>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</si>
  <si>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</si>
  <si>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</si>
  <si>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</si>
  <si>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</si>
  <si>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</si>
  <si>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</si>
  <si>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</si>
  <si>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</si>
  <si>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</si>
  <si>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</si>
  <si>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</si>
  <si>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</si>
  <si>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</si>
  <si>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</si>
  <si>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</si>
  <si>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</si>
  <si>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</si>
  <si>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</si>
  <si>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</si>
  <si>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</si>
  <si>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</si>
  <si>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</si>
  <si>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</si>
  <si>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</si>
  <si>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</si>
  <si>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</si>
  <si>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</si>
  <si>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</si>
  <si>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</si>
  <si>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</si>
  <si>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</si>
  <si>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</si>
  <si>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</si>
  <si>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</si>
  <si>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</si>
  <si>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</si>
  <si>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</si>
  <si>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</si>
  <si>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</si>
  <si>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</si>
  <si>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</si>
  <si>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</si>
  <si>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</si>
  <si>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</si>
  <si>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</si>
  <si>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</si>
  <si>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</si>
  <si>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</si>
  <si>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</si>
  <si>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</si>
  <si>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</si>
  <si>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</si>
  <si>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</si>
  <si>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</si>
  <si>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</si>
  <si>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</si>
  <si>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</si>
  <si>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</si>
  <si>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</si>
  <si>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</si>
  <si>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</si>
  <si>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</si>
  <si>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</si>
  <si>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</si>
  <si>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</si>
  <si>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</si>
  <si>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</si>
  <si>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</si>
  <si>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</si>
  <si>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</si>
  <si>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</si>
  <si>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</si>
  <si>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</si>
  <si>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</si>
  <si>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</si>
  <si>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</si>
  <si>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</si>
  <si>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</si>
  <si>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</si>
  <si>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</si>
  <si>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</si>
  <si>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</si>
  <si>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</si>
  <si>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</si>
  <si>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</si>
  <si>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</si>
  <si>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</si>
  <si>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</si>
  <si>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</si>
  <si>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</si>
  <si>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</si>
  <si>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</si>
  <si>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</si>
  <si>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</si>
  <si>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</si>
  <si>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</si>
  <si>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</si>
  <si>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</si>
  <si>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</si>
  <si>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</si>
  <si>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</si>
  <si>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</si>
  <si>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</si>
  <si>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</si>
  <si>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</si>
  <si>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</si>
  <si>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</si>
  <si>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</si>
  <si>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</si>
  <si>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</si>
  <si>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</si>
  <si>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</si>
  <si>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</si>
  <si>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</si>
  <si>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</si>
  <si>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</si>
  <si>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</si>
  <si>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</si>
  <si>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</si>
  <si>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</si>
  <si>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</si>
  <si>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</si>
  <si>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</si>
  <si>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</si>
  <si>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</si>
  <si>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</si>
  <si>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</si>
  <si>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</si>
  <si>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</si>
  <si>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</si>
  <si>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</si>
  <si>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</si>
  <si>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</si>
  <si>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</si>
  <si>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</si>
  <si>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</si>
  <si>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</si>
  <si>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</si>
  <si>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</si>
  <si>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</si>
  <si>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</si>
  <si>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</si>
  <si>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</si>
  <si>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</si>
  <si>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</si>
  <si>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</si>
  <si>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</si>
  <si>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</si>
  <si>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</si>
  <si>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</si>
  <si>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</si>
  <si>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</si>
  <si>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</si>
  <si>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</si>
  <si>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</si>
  <si>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</si>
  <si>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</si>
  <si>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</si>
  <si>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</si>
  <si>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</si>
  <si>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</si>
  <si>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</si>
  <si>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</si>
  <si>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</si>
  <si>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</si>
  <si>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</si>
  <si>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</si>
  <si>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</si>
  <si>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</si>
  <si>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</si>
  <si>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</si>
  <si>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</si>
  <si>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</si>
  <si>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</si>
  <si>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</si>
  <si>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</si>
  <si>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</si>
  <si>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</si>
  <si>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</si>
  <si>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</si>
  <si>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</si>
  <si>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</si>
  <si>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</si>
  <si>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</si>
  <si>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</si>
  <si>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</si>
  <si>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</si>
  <si>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</si>
  <si>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</si>
  <si>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</si>
  <si>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</si>
  <si>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</si>
  <si>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</si>
  <si>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</si>
  <si>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</si>
  <si>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</si>
  <si>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</si>
  <si>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</si>
  <si>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</si>
  <si>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</si>
  <si>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</si>
  <si>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</si>
  <si>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</si>
  <si>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</si>
  <si>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</si>
  <si>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</si>
  <si>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</si>
  <si>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</si>
  <si>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</si>
  <si>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</si>
  <si>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</si>
  <si>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</si>
  <si>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</si>
  <si>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</si>
  <si>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</si>
  <si>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</si>
  <si>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</si>
  <si>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</si>
  <si>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</si>
  <si>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</si>
  <si>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</si>
  <si>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</si>
  <si>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</si>
  <si>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</si>
  <si>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</si>
  <si>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</si>
  <si>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</si>
  <si>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</si>
  <si>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</si>
  <si>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</si>
  <si>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</si>
  <si>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</si>
  <si>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</si>
  <si>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</si>
  <si>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</si>
  <si>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</si>
  <si>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</si>
  <si>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</si>
  <si>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</si>
  <si>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</si>
  <si>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</si>
  <si>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</si>
  <si>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</si>
  <si>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</si>
  <si>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</si>
  <si>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</si>
  <si>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</si>
  <si>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</si>
  <si>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</si>
  <si>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</si>
  <si>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</si>
  <si>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</si>
  <si>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</si>
  <si>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</si>
  <si>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</si>
  <si>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</si>
  <si>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</si>
  <si>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</si>
  <si>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</si>
  <si>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</si>
  <si>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</si>
  <si>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</si>
  <si>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</si>
  <si>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</si>
  <si>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</si>
  <si>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</si>
  <si>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</si>
  <si>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</si>
  <si>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</si>
  <si>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</si>
  <si>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</si>
  <si>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</si>
  <si>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</si>
  <si>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</si>
  <si>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</si>
  <si>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</si>
  <si>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</si>
  <si>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</si>
  <si>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</si>
  <si>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</si>
  <si>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</si>
  <si>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</si>
  <si>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</si>
  <si>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</si>
  <si>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</si>
  <si>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</si>
  <si>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</si>
  <si>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</si>
  <si>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</si>
  <si>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</si>
  <si>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</si>
  <si>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</si>
  <si>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</si>
  <si>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</si>
  <si>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</si>
  <si>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</si>
  <si>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</si>
  <si>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</si>
  <si>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</si>
  <si>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</si>
  <si>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</si>
  <si>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</si>
  <si>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</si>
  <si>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</si>
  <si>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</si>
  <si>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</si>
  <si>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</si>
  <si>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</si>
  <si>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</si>
  <si>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</si>
  <si>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</si>
  <si>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</si>
  <si>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</si>
  <si>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</si>
  <si>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</si>
  <si>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</si>
  <si>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</si>
  <si>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</si>
  <si>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</si>
  <si>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</si>
  <si>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</si>
  <si>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</si>
  <si>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</si>
  <si>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</si>
  <si>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</si>
  <si>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</si>
  <si>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</si>
  <si>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</si>
  <si>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</si>
  <si>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</si>
  <si>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</si>
  <si>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</si>
  <si>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</si>
  <si>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</si>
  <si>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</si>
  <si>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</si>
  <si>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</si>
  <si>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</si>
  <si>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</si>
  <si>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</si>
  <si>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</si>
  <si>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</si>
  <si>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</si>
  <si>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</si>
  <si>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</si>
  <si>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</si>
  <si>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</si>
  <si>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</si>
  <si>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</si>
  <si>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</si>
  <si>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</si>
  <si>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</si>
  <si>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</si>
  <si>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</si>
  <si>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</si>
  <si>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</si>
  <si>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</si>
  <si>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</si>
  <si>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</si>
  <si>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</si>
  <si>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</si>
  <si>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</si>
  <si>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</si>
  <si>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</si>
  <si>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</si>
  <si>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</si>
  <si>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</si>
  <si>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</si>
  <si>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</si>
  <si>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</si>
  <si>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</si>
  <si>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</si>
  <si>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</si>
  <si>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</si>
  <si>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</si>
  <si>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</si>
  <si>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</si>
  <si>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</si>
  <si>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</si>
  <si>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</si>
  <si>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</si>
  <si>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</si>
  <si>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</si>
  <si>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</si>
  <si>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</si>
  <si>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</si>
  <si>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</si>
  <si>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</si>
  <si>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</si>
  <si>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</si>
  <si>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</si>
  <si>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</si>
  <si>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</si>
  <si>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</si>
  <si>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</si>
  <si>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</si>
  <si>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</si>
  <si>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</si>
  <si>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</si>
  <si>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</si>
  <si>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</si>
  <si>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</si>
  <si>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</si>
  <si>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</si>
  <si>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</si>
  <si>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</si>
  <si>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</si>
  <si>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</si>
  <si>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</si>
  <si>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</si>
  <si>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</si>
  <si>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</si>
  <si>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</si>
  <si>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</si>
  <si>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</si>
  <si>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</si>
  <si>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</si>
  <si>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</si>
  <si>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</si>
  <si>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</si>
  <si>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</si>
  <si>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</si>
  <si>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</si>
  <si>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</si>
  <si>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</si>
  <si>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</si>
  <si>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</si>
  <si>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</si>
  <si>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</si>
  <si>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</si>
  <si>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</si>
  <si>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</si>
  <si>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</si>
  <si>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</si>
  <si>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</si>
  <si>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</si>
  <si>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</si>
  <si>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</si>
  <si>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</si>
  <si>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</si>
  <si>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</si>
  <si>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</si>
  <si>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</si>
  <si>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</si>
  <si>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</si>
  <si>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</si>
  <si>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</si>
  <si>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</si>
  <si>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</si>
  <si>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</si>
  <si>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</si>
  <si>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</si>
  <si>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</si>
  <si>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</si>
  <si>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</si>
  <si>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</si>
  <si>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</si>
  <si>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</si>
  <si>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</si>
  <si>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</si>
  <si>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</si>
  <si>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</si>
  <si>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</si>
  <si>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</si>
  <si>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</si>
  <si>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</si>
  <si>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</si>
  <si>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</si>
  <si>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</si>
  <si>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</si>
  <si>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</si>
  <si>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</si>
  <si>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</si>
  <si>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</si>
  <si>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</si>
  <si>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</si>
  <si>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</si>
  <si>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</si>
  <si>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</si>
  <si>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</si>
  <si>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</si>
  <si>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</si>
  <si>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</si>
  <si>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</si>
  <si>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</si>
  <si>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</si>
  <si>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</si>
  <si>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</si>
  <si>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</si>
  <si>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</si>
  <si>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</si>
  <si>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</si>
  <si>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</si>
  <si>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</si>
  <si>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</si>
  <si>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</si>
  <si>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</si>
  <si>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</si>
  <si>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</si>
  <si>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</si>
  <si>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</si>
  <si>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</si>
  <si>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</si>
  <si>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</si>
  <si>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</si>
  <si>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</si>
  <si>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</si>
  <si>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</si>
  <si>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</si>
  <si>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</si>
  <si>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</si>
  <si>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</si>
  <si>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</si>
  <si>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</si>
  <si>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</si>
  <si>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</si>
  <si>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</si>
  <si>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</si>
  <si>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</si>
  <si>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</si>
  <si>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</si>
  <si>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</si>
  <si>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</si>
  <si>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</si>
  <si>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</si>
  <si>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</si>
  <si>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</si>
  <si>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</si>
  <si>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</si>
  <si>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</si>
  <si>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</si>
  <si>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</si>
  <si>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</si>
  <si>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</si>
  <si>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</si>
  <si>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</si>
  <si>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</si>
  <si>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</si>
  <si>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</si>
  <si>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</si>
  <si>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MONADNOCK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</si>
</sst>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30" zoomScaleNormal="130" workbookViewId="0">
      <pane xSplit="5" ySplit="3" topLeftCell="F643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363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3260308.86</v>
      </c>
      <c r="G9" s="18">
        <f>33097.28+235</f>
        <v>33332.28</v>
      </c>
      <c r="H9" s="18">
        <v>69462.09</v>
      </c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691.33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698151.85+609.67</f>
        <v>698761.52</v>
      </c>
      <c r="G12" s="18">
        <f>196999.18+8181.65</f>
        <v>205180.83</v>
      </c>
      <c r="H12" s="18">
        <v>126811.25</v>
      </c>
      <c r="I12" s="18">
        <v>133102.59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879438.65</f>
        <v>879438.65</v>
      </c>
      <c r="G13" s="18">
        <v>12001.34</v>
      </c>
      <c r="H13" s="18">
        <v>681939.98</v>
      </c>
      <c r="I13" s="18"/>
      <c r="J13" s="67">
        <f>SUM(I442)</f>
        <v>506736.77999999997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16000+1060.22+862</f>
        <v>17922.22</v>
      </c>
      <c r="G14" s="18">
        <f>45028.94-8181.65</f>
        <v>36847.29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1952.87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4859075.45</v>
      </c>
      <c r="G19" s="41">
        <f>SUM(G9:G18)</f>
        <v>287361.74</v>
      </c>
      <c r="H19" s="41">
        <f>SUM(H9:H18)</f>
        <v>878213.32</v>
      </c>
      <c r="I19" s="41">
        <f>SUM(I9:I18)</f>
        <v>133102.59</v>
      </c>
      <c r="J19" s="41">
        <f>SUM(J9:J18)</f>
        <v>506736.77999999997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f>393306.86+8181.65</f>
        <v>401488.51</v>
      </c>
      <c r="G22" s="18"/>
      <c r="H22" s="18">
        <v>761758.01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442633.93</v>
      </c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533434.86</v>
      </c>
      <c r="G24" s="18">
        <f>1558.41+10505.97</f>
        <v>12064.38</v>
      </c>
      <c r="H24" s="18">
        <f>12551.29+10462.3+13432.78</f>
        <v>36446.370000000003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665636.29+72482.09</f>
        <v>738118.38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15152.22</v>
      </c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2130827.9</v>
      </c>
      <c r="G32" s="41">
        <f>SUM(G22:G31)</f>
        <v>12064.38</v>
      </c>
      <c r="H32" s="41">
        <f>SUM(H22:H31)</f>
        <v>798204.38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1952.87</v>
      </c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f>275297.36</f>
        <v>275297.36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>
        <v>133102.59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80008.94</v>
      </c>
      <c r="I48" s="18"/>
      <c r="J48" s="13">
        <f>SUM(I459)</f>
        <v>506736.78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345213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2381081.6800000002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2728247.5500000003</v>
      </c>
      <c r="G51" s="41">
        <f>SUM(G35:G50)</f>
        <v>275297.36</v>
      </c>
      <c r="H51" s="41">
        <f>SUM(H35:H50)</f>
        <v>80008.94</v>
      </c>
      <c r="I51" s="41">
        <f>SUM(I35:I50)</f>
        <v>133102.59</v>
      </c>
      <c r="J51" s="41">
        <f>SUM(J35:J50)</f>
        <v>506736.78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4859075.45</v>
      </c>
      <c r="G52" s="41">
        <f>G51+G32</f>
        <v>287361.74</v>
      </c>
      <c r="H52" s="41">
        <f>H51+H32</f>
        <v>878213.32000000007</v>
      </c>
      <c r="I52" s="41">
        <f>I51+I32</f>
        <v>133102.59</v>
      </c>
      <c r="J52" s="41">
        <f>J51+J32</f>
        <v>506736.78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17392472.050000001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17392472.050000001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39086.92</v>
      </c>
      <c r="G63" s="24" t="s">
        <v>286</v>
      </c>
      <c r="H63" s="18">
        <v>331191.78999999998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7130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11250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57466.92</v>
      </c>
      <c r="G79" s="45" t="s">
        <v>286</v>
      </c>
      <c r="H79" s="41">
        <f>SUM(H63:H78)</f>
        <v>331191.78999999998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6301.8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400481.72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480</v>
      </c>
      <c r="G98" s="24" t="s">
        <v>286</v>
      </c>
      <c r="H98" s="18">
        <f>85+1020.71</f>
        <v>1105.71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5436.91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f>7404.74-1105.71</f>
        <v>6299.03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1713+1601.25+276237.55+9.64</f>
        <v>279561.44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285478.34999999998</v>
      </c>
      <c r="G111" s="41">
        <f>SUM(G96:G110)</f>
        <v>400481.72</v>
      </c>
      <c r="H111" s="41">
        <f>SUM(H96:H110)</f>
        <v>7404.74</v>
      </c>
      <c r="I111" s="41">
        <f>SUM(I96:I110)</f>
        <v>0</v>
      </c>
      <c r="J111" s="41">
        <f>SUM(J96:J110)</f>
        <v>6301.8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17735417.320000004</v>
      </c>
      <c r="G112" s="41">
        <f>G60+G111</f>
        <v>400481.72</v>
      </c>
      <c r="H112" s="41">
        <f>H60+H79+H94+H111</f>
        <v>338596.52999999997</v>
      </c>
      <c r="I112" s="41">
        <f>I60+I111</f>
        <v>0</v>
      </c>
      <c r="J112" s="41">
        <f>J60+J111</f>
        <v>6301.8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f>9352819.57-26576.51</f>
        <v>9326243.0600000005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2285899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f>26576.51</f>
        <v>26576.51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11638718.57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560204.43000000005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326419.18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6996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>
        <v>6897.43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11724.87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893619.6100000001</v>
      </c>
      <c r="G136" s="41">
        <f>SUM(G123:G135)</f>
        <v>11724.87</v>
      </c>
      <c r="H136" s="41">
        <f>SUM(H123:H135)</f>
        <v>6897.43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12532338.18</v>
      </c>
      <c r="G140" s="41">
        <f>G121+SUM(G136:G137)</f>
        <v>11724.87</v>
      </c>
      <c r="H140" s="41">
        <f>H121+SUM(H136:H139)</f>
        <v>6897.43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39651.800000000003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525513.42000000004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1496068.81-525513.42-462629.1-39651.8</f>
        <v>468274.49000000005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f>272679.64+88819.63+25270.75+61187.89</f>
        <v>447957.91000000003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f>462629.1</f>
        <v>462629.1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324093.94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324093.94</v>
      </c>
      <c r="G162" s="41">
        <f>SUM(G150:G161)</f>
        <v>447957.91000000003</v>
      </c>
      <c r="H162" s="41">
        <f>SUM(H150:H161)</f>
        <v>1496068.81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324093.94</v>
      </c>
      <c r="G169" s="41">
        <f>G147+G162+SUM(G163:G168)</f>
        <v>447957.91000000003</v>
      </c>
      <c r="H169" s="41">
        <f>H147+H162+SUM(H163:H168)</f>
        <v>1496068.81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>
        <v>193000</v>
      </c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193000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>
        <v>10805.43</v>
      </c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10805.43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10805.43</v>
      </c>
      <c r="I192" s="41">
        <f>I177+I183+SUM(I188:I191)</f>
        <v>193000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30591849.440000005</v>
      </c>
      <c r="G193" s="47">
        <f>G112+G140+G169+G192</f>
        <v>860164.5</v>
      </c>
      <c r="H193" s="47">
        <f>H112+H140+H169+H192</f>
        <v>1852368.2</v>
      </c>
      <c r="I193" s="47">
        <f>I112+I140+I169+I192</f>
        <v>193000</v>
      </c>
      <c r="J193" s="47">
        <f>J112+J140+J192</f>
        <v>6301.8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3214670.69+67732.78+6372.75+5526+72992.26</f>
        <v>3367294.4799999995</v>
      </c>
      <c r="G197" s="18">
        <f>61479.45+32.77+559361.05+244365.69+1354983.87+12099.57</f>
        <v>2232322.4</v>
      </c>
      <c r="H197" s="18">
        <f>802.73+68312.46</f>
        <v>69115.19</v>
      </c>
      <c r="I197" s="18">
        <f>95181.9+2801.26+709.06+44967.93</f>
        <v>143660.15</v>
      </c>
      <c r="J197" s="18">
        <f>408.79+122.28+19832.66+16949.21</f>
        <v>37312.94</v>
      </c>
      <c r="K197" s="18">
        <f>15848.66</f>
        <v>15848.66</v>
      </c>
      <c r="L197" s="19">
        <f>SUM(F197:K197)</f>
        <v>5865553.8200000003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543506.95+14000+962008.72+13440.75+248369.97+49.44</f>
        <v>1781375.8299999998</v>
      </c>
      <c r="G198" s="18">
        <f>750473.17+53715.88+109589.03+97850.47+107845.9+80298.57+55.03+3.21+5.62+3.01+0.11</f>
        <v>1199840.0000000002</v>
      </c>
      <c r="H198" s="18">
        <f>12.17+1187654.35</f>
        <v>1187666.52</v>
      </c>
      <c r="I198" s="18">
        <f>6235.22+1559.56+2908.95</f>
        <v>10703.73</v>
      </c>
      <c r="J198" s="18">
        <f>90.89+320.84</f>
        <v>411.72999999999996</v>
      </c>
      <c r="K198" s="18">
        <f>621.6</f>
        <v>621.6</v>
      </c>
      <c r="L198" s="19">
        <f>SUM(F198:K198)</f>
        <v>4180619.41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2024.99</v>
      </c>
      <c r="G200" s="18">
        <f>111.29+150.59</f>
        <v>261.88</v>
      </c>
      <c r="H200" s="18"/>
      <c r="I200" s="18"/>
      <c r="J200" s="18"/>
      <c r="K200" s="18"/>
      <c r="L200" s="19">
        <f>SUM(F200:K200)</f>
        <v>2286.87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404414.12+475+379416.39</f>
        <v>784305.51</v>
      </c>
      <c r="G202" s="18">
        <f>7690.16+70033.5+29091.4+174022.38</f>
        <v>280837.44</v>
      </c>
      <c r="H202" s="18">
        <f>405+1695.25</f>
        <v>2100.25</v>
      </c>
      <c r="I202" s="18">
        <f>5818.15+1562.98+9008.03</f>
        <v>16389.16</v>
      </c>
      <c r="J202" s="18"/>
      <c r="K202" s="18"/>
      <c r="L202" s="19">
        <f t="shared" ref="L202:L208" si="0">SUM(F202:K202)</f>
        <v>1083632.3599999999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96549.9+83191.91</f>
        <v>179741.81</v>
      </c>
      <c r="G203" s="18">
        <f>73583.5+3573.27+10990.26+6529.37+31054.2</f>
        <v>125730.59999999999</v>
      </c>
      <c r="H203" s="18">
        <v>22014.52</v>
      </c>
      <c r="I203" s="18">
        <f>809.74+6442.27+13225.38</f>
        <v>20477.39</v>
      </c>
      <c r="J203" s="18"/>
      <c r="K203" s="18">
        <v>750.95</v>
      </c>
      <c r="L203" s="19">
        <f t="shared" si="0"/>
        <v>348715.27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143660.69</v>
      </c>
      <c r="G204" s="18">
        <v>45146.68</v>
      </c>
      <c r="H204" s="18">
        <v>130948</v>
      </c>
      <c r="I204" s="18">
        <v>7726.81</v>
      </c>
      <c r="J204" s="18"/>
      <c r="K204" s="18">
        <v>10598.8</v>
      </c>
      <c r="L204" s="19">
        <f t="shared" si="0"/>
        <v>338080.98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620901.88+26999</f>
        <v>647900.88</v>
      </c>
      <c r="G205" s="18">
        <f>330322.08+5582.43</f>
        <v>335904.51</v>
      </c>
      <c r="H205" s="18">
        <f>45194.34+26.32</f>
        <v>45220.659999999996</v>
      </c>
      <c r="I205" s="18">
        <v>5273.81</v>
      </c>
      <c r="J205" s="18">
        <v>1556.72</v>
      </c>
      <c r="K205" s="18">
        <v>3577</v>
      </c>
      <c r="L205" s="19">
        <f t="shared" si="0"/>
        <v>1039433.5800000001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187277.4</v>
      </c>
      <c r="G206" s="18">
        <v>147236.01999999999</v>
      </c>
      <c r="H206" s="18">
        <v>142383.6</v>
      </c>
      <c r="I206" s="18">
        <v>0</v>
      </c>
      <c r="J206" s="18">
        <v>2230.1999999999998</v>
      </c>
      <c r="K206" s="18">
        <v>154</v>
      </c>
      <c r="L206" s="19">
        <f t="shared" si="0"/>
        <v>479281.22000000003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311524.27+1496.91+214606.15</f>
        <v>527627.32999999996</v>
      </c>
      <c r="G207" s="18">
        <f>92711.85+4234.57+32521.27+22862.72+100987.29</f>
        <v>253317.7</v>
      </c>
      <c r="H207" s="18">
        <f>18581.31+10206+16424.65+79949.55+7330+5554.11+14151.65</f>
        <v>152197.26999999999</v>
      </c>
      <c r="I207" s="18">
        <f>40207.19+13582.6+98393.24+61912.68+33793.61+20281.07</f>
        <v>268170.39</v>
      </c>
      <c r="J207" s="18">
        <f>501.47+25894.48</f>
        <v>26395.95</v>
      </c>
      <c r="K207" s="18"/>
      <c r="L207" s="19">
        <f t="shared" si="0"/>
        <v>1227708.6399999999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57736.31</v>
      </c>
      <c r="G208" s="18">
        <v>5207.67</v>
      </c>
      <c r="H208" s="18">
        <v>936543.51</v>
      </c>
      <c r="I208" s="18">
        <v>12472.77</v>
      </c>
      <c r="J208" s="18"/>
      <c r="K208" s="18"/>
      <c r="L208" s="19">
        <f t="shared" si="0"/>
        <v>1011960.26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154413.67000000001</v>
      </c>
      <c r="G209" s="18">
        <v>66325.7</v>
      </c>
      <c r="H209" s="18">
        <v>274086.7</v>
      </c>
      <c r="I209" s="18">
        <v>111127.82</v>
      </c>
      <c r="J209" s="18">
        <v>155351.01999999999</v>
      </c>
      <c r="K209" s="18"/>
      <c r="L209" s="19">
        <f>SUM(F209:K209)</f>
        <v>761304.91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7833358.8999999994</v>
      </c>
      <c r="G211" s="41">
        <f t="shared" si="1"/>
        <v>4692130.6000000006</v>
      </c>
      <c r="H211" s="41">
        <f t="shared" si="1"/>
        <v>2962276.22</v>
      </c>
      <c r="I211" s="41">
        <f t="shared" si="1"/>
        <v>596002.03</v>
      </c>
      <c r="J211" s="41">
        <f t="shared" si="1"/>
        <v>223258.56</v>
      </c>
      <c r="K211" s="41">
        <f t="shared" si="1"/>
        <v>31551.01</v>
      </c>
      <c r="L211" s="41">
        <f t="shared" si="1"/>
        <v>16338577.32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16944.63+895571.04</f>
        <v>912515.67</v>
      </c>
      <c r="G215" s="18">
        <f>314549.83+248290.29</f>
        <v>562840.12</v>
      </c>
      <c r="H215" s="18">
        <f>15858.25+4276.85</f>
        <v>20135.099999999999</v>
      </c>
      <c r="I215" s="18">
        <f>37969.96</f>
        <v>37969.96</v>
      </c>
      <c r="J215" s="18">
        <f>3934.64+10163.63</f>
        <v>14098.269999999999</v>
      </c>
      <c r="K215" s="18">
        <f>3679.15+75</f>
        <v>3754.15</v>
      </c>
      <c r="L215" s="19">
        <f>SUM(F215:K215)</f>
        <v>1551313.27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300983.27+57657.32</f>
        <v>358640.59</v>
      </c>
      <c r="G216" s="18">
        <f>162986.9+18640.74</f>
        <v>181627.63999999998</v>
      </c>
      <c r="H216" s="18">
        <f>1214.53+275705.47</f>
        <v>276920</v>
      </c>
      <c r="I216" s="18">
        <f>1660.43+675.29</f>
        <v>2335.7200000000003</v>
      </c>
      <c r="J216" s="18">
        <f>74.48</f>
        <v>74.48</v>
      </c>
      <c r="K216" s="18">
        <f>201+144.3</f>
        <v>345.3</v>
      </c>
      <c r="L216" s="19">
        <f>SUM(F216:K216)</f>
        <v>819943.73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58165.54</v>
      </c>
      <c r="G218" s="18">
        <v>13111.64</v>
      </c>
      <c r="H218" s="18">
        <v>9038.7000000000007</v>
      </c>
      <c r="I218" s="18">
        <v>15908.21</v>
      </c>
      <c r="J218" s="18">
        <v>3080.21</v>
      </c>
      <c r="K218" s="18">
        <v>3771.68</v>
      </c>
      <c r="L218" s="19">
        <f>SUM(F218:K218)</f>
        <v>103075.98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88078.81+85995.62</f>
        <v>174074.43</v>
      </c>
      <c r="G220" s="18">
        <f>40398.05+29333.54</f>
        <v>69731.59</v>
      </c>
      <c r="H220" s="18">
        <f>393.54+9233.25</f>
        <v>9626.7900000000009</v>
      </c>
      <c r="I220" s="18">
        <f>2091.15+3914.09</f>
        <v>6005.24</v>
      </c>
      <c r="J220" s="18">
        <f>296.42</f>
        <v>296.42</v>
      </c>
      <c r="K220" s="18">
        <v>1006.5</v>
      </c>
      <c r="L220" s="19">
        <f t="shared" ref="L220:L226" si="2">SUM(F220:K220)</f>
        <v>260740.97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19312.41+42066.1</f>
        <v>61378.509999999995</v>
      </c>
      <c r="G221" s="18">
        <f>7209.01+14283.62</f>
        <v>21492.63</v>
      </c>
      <c r="H221" s="18">
        <f>5110.51+79.2</f>
        <v>5189.71</v>
      </c>
      <c r="I221" s="18">
        <f>3070.18+7268.08</f>
        <v>10338.26</v>
      </c>
      <c r="J221" s="18">
        <f>865.79</f>
        <v>865.79</v>
      </c>
      <c r="K221" s="18">
        <f>174.33</f>
        <v>174.33</v>
      </c>
      <c r="L221" s="19">
        <f t="shared" si="2"/>
        <v>99439.23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33349.800000000003</v>
      </c>
      <c r="G222" s="18">
        <v>10480.48</v>
      </c>
      <c r="H222" s="18">
        <v>30398.639999999999</v>
      </c>
      <c r="I222" s="18">
        <v>1793.72</v>
      </c>
      <c r="J222" s="18"/>
      <c r="K222" s="18">
        <v>2999.66</v>
      </c>
      <c r="L222" s="19">
        <f t="shared" si="2"/>
        <v>79022.3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112553.61+6267.63</f>
        <v>118821.24</v>
      </c>
      <c r="G223" s="18">
        <f>69816.82+1295.92</f>
        <v>71112.740000000005</v>
      </c>
      <c r="H223" s="18">
        <f>18244.23+6.11</f>
        <v>18250.34</v>
      </c>
      <c r="I223" s="18">
        <f>264.99</f>
        <v>264.99</v>
      </c>
      <c r="J223" s="18">
        <f>331.6</f>
        <v>331.6</v>
      </c>
      <c r="K223" s="18">
        <f>540.9</f>
        <v>540.9</v>
      </c>
      <c r="L223" s="19">
        <f t="shared" si="2"/>
        <v>209321.81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43475.11</v>
      </c>
      <c r="G224" s="18">
        <v>34179.79</v>
      </c>
      <c r="H224" s="18">
        <v>33053.33</v>
      </c>
      <c r="I224" s="18">
        <v>0</v>
      </c>
      <c r="J224" s="18">
        <v>517.73</v>
      </c>
      <c r="K224" s="18">
        <v>35.75</v>
      </c>
      <c r="L224" s="19">
        <f t="shared" si="2"/>
        <v>111261.70999999999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49819.29+88853.79</f>
        <v>138673.07999999999</v>
      </c>
      <c r="G225" s="18">
        <f>23443.48+44031.86</f>
        <v>67475.34</v>
      </c>
      <c r="H225" s="18">
        <f>3285.21+23867.73</f>
        <v>27152.94</v>
      </c>
      <c r="I225" s="18">
        <f>4708.1+66756.26</f>
        <v>71464.36</v>
      </c>
      <c r="J225" s="18">
        <f>6011.22+1058.06</f>
        <v>7069.2800000000007</v>
      </c>
      <c r="K225" s="18"/>
      <c r="L225" s="19">
        <f t="shared" si="2"/>
        <v>311835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13403.07</v>
      </c>
      <c r="G226" s="18">
        <v>1208.92</v>
      </c>
      <c r="H226" s="18">
        <v>217411.89</v>
      </c>
      <c r="I226" s="18">
        <v>2895.47</v>
      </c>
      <c r="J226" s="18"/>
      <c r="K226" s="18"/>
      <c r="L226" s="19">
        <f t="shared" si="2"/>
        <v>234919.35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35846.03</v>
      </c>
      <c r="G227" s="18">
        <v>15397.04</v>
      </c>
      <c r="H227" s="18">
        <v>51229.66</v>
      </c>
      <c r="I227" s="18">
        <v>25797.53</v>
      </c>
      <c r="J227" s="18">
        <v>36063.629999999997</v>
      </c>
      <c r="K227" s="18"/>
      <c r="L227" s="19">
        <f>SUM(F227:K227)</f>
        <v>164333.89000000001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1948343.0700000003</v>
      </c>
      <c r="G229" s="41">
        <f>SUM(G215:G228)</f>
        <v>1048657.93</v>
      </c>
      <c r="H229" s="41">
        <f>SUM(H215:H228)</f>
        <v>698407.10000000009</v>
      </c>
      <c r="I229" s="41">
        <f>SUM(I215:I228)</f>
        <v>174773.46000000002</v>
      </c>
      <c r="J229" s="41">
        <f>SUM(J215:J228)</f>
        <v>62397.409999999996</v>
      </c>
      <c r="K229" s="41">
        <f t="shared" si="3"/>
        <v>12628.269999999999</v>
      </c>
      <c r="L229" s="41">
        <f t="shared" si="3"/>
        <v>3945207.24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f>40406.43+2089665.75</f>
        <v>2130072.1800000002</v>
      </c>
      <c r="G233" s="18">
        <f>750080.36+579344.02</f>
        <v>1329424.3799999999</v>
      </c>
      <c r="H233" s="18">
        <f>37815.83+9979.31</f>
        <v>47795.14</v>
      </c>
      <c r="I233" s="18">
        <f>88596.56</f>
        <v>88596.56</v>
      </c>
      <c r="J233" s="18">
        <f>9382.6+23715.13</f>
        <v>33097.730000000003</v>
      </c>
      <c r="K233" s="18">
        <f>8773.37+175</f>
        <v>8948.3700000000008</v>
      </c>
      <c r="L233" s="19">
        <f>SUM(F233:K233)</f>
        <v>3637934.3600000003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702294.31+137490.52</f>
        <v>839784.83000000007</v>
      </c>
      <c r="G234" s="18">
        <f>380302.77+44450.99</f>
        <v>424753.76</v>
      </c>
      <c r="H234" s="18">
        <f>2833.89+657451.52</f>
        <v>660285.41</v>
      </c>
      <c r="I234" s="18">
        <f>3874.35+1610.31</f>
        <v>5484.66</v>
      </c>
      <c r="J234" s="18">
        <f>177.61</f>
        <v>177.61</v>
      </c>
      <c r="K234" s="18">
        <f>469+344.1</f>
        <v>813.1</v>
      </c>
      <c r="L234" s="19">
        <f>SUM(F234:K234)</f>
        <v>1931299.37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>
        <v>56827.51</v>
      </c>
      <c r="I235" s="18"/>
      <c r="J235" s="18"/>
      <c r="K235" s="18"/>
      <c r="L235" s="19">
        <f>SUM(F235:K235)</f>
        <v>56827.51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135719.59</v>
      </c>
      <c r="G236" s="18">
        <v>30593.82</v>
      </c>
      <c r="H236" s="18">
        <v>21090.31</v>
      </c>
      <c r="I236" s="18">
        <v>37119.15</v>
      </c>
      <c r="J236" s="18">
        <v>7187.47</v>
      </c>
      <c r="K236" s="18">
        <v>8800.58</v>
      </c>
      <c r="L236" s="19">
        <f>SUM(F236:K236)</f>
        <v>240510.91999999998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f>210034.08+200656.44</f>
        <v>410690.52</v>
      </c>
      <c r="G238" s="18">
        <f>96333.82+68444.92</f>
        <v>164778.74</v>
      </c>
      <c r="H238" s="18">
        <f>938.44+21544.24</f>
        <v>22482.68</v>
      </c>
      <c r="I238" s="18">
        <f>4986.59+9132.87</f>
        <v>14119.460000000001</v>
      </c>
      <c r="J238" s="18">
        <v>691.64</v>
      </c>
      <c r="K238" s="18">
        <v>2348.5</v>
      </c>
      <c r="L238" s="19">
        <f t="shared" ref="L238:L244" si="4">SUM(F238:K238)</f>
        <v>615111.54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f>46052.67+98154.21</f>
        <v>144206.88</v>
      </c>
      <c r="G239" s="18">
        <f>17190.72+33328.46</f>
        <v>50519.18</v>
      </c>
      <c r="H239" s="18">
        <f>12186.61+4874.8</f>
        <v>17061.41</v>
      </c>
      <c r="I239" s="18">
        <f>7321.19+16958.84</f>
        <v>24280.03</v>
      </c>
      <c r="J239" s="18">
        <v>2020.17</v>
      </c>
      <c r="K239" s="18">
        <v>415.71</v>
      </c>
      <c r="L239" s="19">
        <f t="shared" si="4"/>
        <v>238503.38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79526.460000000006</v>
      </c>
      <c r="G240" s="18">
        <v>24991.91</v>
      </c>
      <c r="H240" s="18">
        <v>72489.070000000007</v>
      </c>
      <c r="I240" s="18">
        <v>4277.34</v>
      </c>
      <c r="J240" s="18"/>
      <c r="K240" s="18">
        <v>6399.27</v>
      </c>
      <c r="L240" s="19">
        <f t="shared" si="4"/>
        <v>187684.05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f>262625.1+14945.88</f>
        <v>277570.98</v>
      </c>
      <c r="G241" s="18">
        <f>162905.92+3090.28</f>
        <v>165996.20000000001</v>
      </c>
      <c r="H241" s="18">
        <f>42569.88+14.57</f>
        <v>42584.45</v>
      </c>
      <c r="I241" s="18">
        <v>618.30999999999995</v>
      </c>
      <c r="J241" s="18">
        <v>773.72</v>
      </c>
      <c r="K241" s="18">
        <v>1262.0999999999999</v>
      </c>
      <c r="L241" s="19">
        <f t="shared" si="4"/>
        <v>488805.75999999995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103671.42</v>
      </c>
      <c r="G242" s="18">
        <v>81505.66</v>
      </c>
      <c r="H242" s="18">
        <v>78819.490000000005</v>
      </c>
      <c r="I242" s="18">
        <v>0</v>
      </c>
      <c r="J242" s="18">
        <v>1234.58</v>
      </c>
      <c r="K242" s="18">
        <v>85.25</v>
      </c>
      <c r="L242" s="19">
        <f t="shared" si="4"/>
        <v>265316.40000000002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f>118799.84+207325.51</f>
        <v>326125.34999999998</v>
      </c>
      <c r="G243" s="18">
        <f>55903.68+102741</f>
        <v>158644.68</v>
      </c>
      <c r="H243" s="18">
        <f>7833.95+55691.37</f>
        <v>63525.32</v>
      </c>
      <c r="I243" s="18">
        <f>11227.02+155764.6</f>
        <v>166991.62</v>
      </c>
      <c r="J243" s="18">
        <f>14334.44+2468.81</f>
        <v>16803.25</v>
      </c>
      <c r="K243" s="18"/>
      <c r="L243" s="19">
        <f t="shared" si="4"/>
        <v>732090.22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31961.17</v>
      </c>
      <c r="G244" s="18">
        <v>2882.82</v>
      </c>
      <c r="H244" s="18">
        <v>518443.73</v>
      </c>
      <c r="I244" s="18">
        <v>6904.57</v>
      </c>
      <c r="J244" s="18"/>
      <c r="K244" s="18"/>
      <c r="L244" s="19">
        <f t="shared" si="4"/>
        <v>560192.28999999992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85479</v>
      </c>
      <c r="G245" s="18">
        <v>36716.01</v>
      </c>
      <c r="H245" s="18">
        <v>121963.45</v>
      </c>
      <c r="I245" s="18">
        <v>61517.18</v>
      </c>
      <c r="J245" s="18">
        <v>85997.88</v>
      </c>
      <c r="K245" s="18"/>
      <c r="L245" s="19">
        <f>SUM(F245:K245)</f>
        <v>391673.52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4564808.38</v>
      </c>
      <c r="G247" s="41">
        <f t="shared" si="5"/>
        <v>2470807.1599999997</v>
      </c>
      <c r="H247" s="41">
        <f t="shared" si="5"/>
        <v>1723367.9700000002</v>
      </c>
      <c r="I247" s="41">
        <f t="shared" si="5"/>
        <v>409908.88</v>
      </c>
      <c r="J247" s="41">
        <f t="shared" si="5"/>
        <v>147984.05000000002</v>
      </c>
      <c r="K247" s="41">
        <f t="shared" si="5"/>
        <v>29072.880000000001</v>
      </c>
      <c r="L247" s="41">
        <f t="shared" si="5"/>
        <v>9345949.3199999984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14346510.349999998</v>
      </c>
      <c r="G257" s="41">
        <f t="shared" si="8"/>
        <v>8211595.6899999995</v>
      </c>
      <c r="H257" s="41">
        <f t="shared" si="8"/>
        <v>5384051.290000001</v>
      </c>
      <c r="I257" s="41">
        <f t="shared" si="8"/>
        <v>1180684.3700000001</v>
      </c>
      <c r="J257" s="41">
        <f t="shared" si="8"/>
        <v>433640.02</v>
      </c>
      <c r="K257" s="41">
        <f t="shared" si="8"/>
        <v>73252.160000000003</v>
      </c>
      <c r="L257" s="41">
        <f t="shared" si="8"/>
        <v>29629733.880000003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193000</v>
      </c>
      <c r="L265" s="19">
        <f t="shared" si="9"/>
        <v>193000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193000</v>
      </c>
      <c r="L270" s="41">
        <f t="shared" si="9"/>
        <v>193000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14346510.349999998</v>
      </c>
      <c r="G271" s="42">
        <f t="shared" si="11"/>
        <v>8211595.6899999995</v>
      </c>
      <c r="H271" s="42">
        <f t="shared" si="11"/>
        <v>5384051.290000001</v>
      </c>
      <c r="I271" s="42">
        <f t="shared" si="11"/>
        <v>1180684.3700000001</v>
      </c>
      <c r="J271" s="42">
        <f t="shared" si="11"/>
        <v>433640.02</v>
      </c>
      <c r="K271" s="42">
        <f t="shared" si="11"/>
        <v>266252.16000000003</v>
      </c>
      <c r="L271" s="42">
        <f t="shared" si="11"/>
        <v>29822733.880000003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164243.96</v>
      </c>
      <c r="G276" s="18">
        <v>85507.32</v>
      </c>
      <c r="H276" s="18"/>
      <c r="I276" s="18">
        <v>9065.76</v>
      </c>
      <c r="J276" s="18"/>
      <c r="K276" s="18"/>
      <c r="L276" s="19">
        <f>SUM(F276:K276)</f>
        <v>258817.04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164189.63</v>
      </c>
      <c r="G277" s="18">
        <v>39262.33</v>
      </c>
      <c r="H277" s="18">
        <v>31738</v>
      </c>
      <c r="I277" s="18">
        <v>20195.95</v>
      </c>
      <c r="J277" s="18">
        <v>4468.8</v>
      </c>
      <c r="K277" s="18"/>
      <c r="L277" s="19">
        <f>SUM(F277:K277)</f>
        <v>259854.71000000002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f>329788.83-5517.5</f>
        <v>324271.33</v>
      </c>
      <c r="G279" s="18">
        <f>46302.72-1379.93</f>
        <v>44922.79</v>
      </c>
      <c r="H279" s="18">
        <v>12627.83</v>
      </c>
      <c r="I279" s="18">
        <f>29318.86-268.02-78.27</f>
        <v>28972.57</v>
      </c>
      <c r="J279" s="18">
        <v>1334</v>
      </c>
      <c r="K279" s="18"/>
      <c r="L279" s="19">
        <f>SUM(F279:K279)</f>
        <v>412128.52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35014.050000000003</v>
      </c>
      <c r="G281" s="18">
        <v>26327.25</v>
      </c>
      <c r="H281" s="18">
        <v>162.05000000000001</v>
      </c>
      <c r="I281" s="18">
        <v>4335.4399999999996</v>
      </c>
      <c r="J281" s="18"/>
      <c r="K281" s="18">
        <v>15503.92</v>
      </c>
      <c r="L281" s="19">
        <f t="shared" ref="L281:L287" si="12">SUM(F281:K281)</f>
        <v>81342.710000000006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17887.93</v>
      </c>
      <c r="G282" s="18">
        <v>3019.58</v>
      </c>
      <c r="H282" s="18">
        <f>3512.32+101485.71</f>
        <v>104998.03000000001</v>
      </c>
      <c r="I282" s="18">
        <f>3323.56+14749.44</f>
        <v>18073</v>
      </c>
      <c r="J282" s="18">
        <f>8607+8745</f>
        <v>17352</v>
      </c>
      <c r="K282" s="18"/>
      <c r="L282" s="19">
        <f t="shared" si="12"/>
        <v>161330.54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f>26795.05+19708</f>
        <v>46503.05</v>
      </c>
      <c r="G283" s="18">
        <f>10197.63+8348.23</f>
        <v>18545.86</v>
      </c>
      <c r="H283" s="18"/>
      <c r="I283" s="18">
        <v>121</v>
      </c>
      <c r="J283" s="18"/>
      <c r="K283" s="18"/>
      <c r="L283" s="19">
        <f t="shared" si="12"/>
        <v>65169.91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f>37681.86+18643.5</f>
        <v>56325.36</v>
      </c>
      <c r="G284" s="18">
        <f>18921.24+6878.94</f>
        <v>25800.18</v>
      </c>
      <c r="H284" s="18">
        <v>16474.78</v>
      </c>
      <c r="I284" s="18">
        <v>700.73</v>
      </c>
      <c r="J284" s="18">
        <v>1028.06</v>
      </c>
      <c r="K284" s="18"/>
      <c r="L284" s="19">
        <f t="shared" si="12"/>
        <v>100329.11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v>16635.95</v>
      </c>
      <c r="L285" s="19">
        <f t="shared" si="12"/>
        <v>16635.95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f>1500+3000+1500+1500+8580.07+3634</f>
        <v>19714.07</v>
      </c>
      <c r="I287" s="18"/>
      <c r="J287" s="18"/>
      <c r="K287" s="18"/>
      <c r="L287" s="19">
        <f t="shared" si="12"/>
        <v>19714.07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>
        <v>268.02</v>
      </c>
      <c r="J288" s="18"/>
      <c r="K288" s="18"/>
      <c r="L288" s="19">
        <f>SUM(F288:K288)</f>
        <v>268.02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808435.31</v>
      </c>
      <c r="G290" s="42">
        <f t="shared" si="13"/>
        <v>243385.31</v>
      </c>
      <c r="H290" s="42">
        <f t="shared" si="13"/>
        <v>185714.76000000004</v>
      </c>
      <c r="I290" s="42">
        <f t="shared" si="13"/>
        <v>81732.47</v>
      </c>
      <c r="J290" s="42">
        <f t="shared" si="13"/>
        <v>24182.86</v>
      </c>
      <c r="K290" s="42">
        <f t="shared" si="13"/>
        <v>32139.870000000003</v>
      </c>
      <c r="L290" s="41">
        <f t="shared" si="13"/>
        <v>1375590.58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15056.4</v>
      </c>
      <c r="G296" s="18">
        <v>3305.21</v>
      </c>
      <c r="H296" s="18">
        <v>7367.75</v>
      </c>
      <c r="I296" s="18">
        <v>4688.3500000000004</v>
      </c>
      <c r="J296" s="18">
        <v>1037.4000000000001</v>
      </c>
      <c r="K296" s="18"/>
      <c r="L296" s="19">
        <f>SUM(F296:K296)</f>
        <v>31455.11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1694.82</v>
      </c>
      <c r="G298" s="18">
        <v>374.85</v>
      </c>
      <c r="H298" s="18">
        <v>150</v>
      </c>
      <c r="I298" s="18"/>
      <c r="J298" s="18"/>
      <c r="K298" s="18"/>
      <c r="L298" s="19">
        <f>SUM(F298:K298)</f>
        <v>2219.67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>
        <v>37.619999999999997</v>
      </c>
      <c r="I300" s="18">
        <v>1006.44</v>
      </c>
      <c r="J300" s="18"/>
      <c r="K300" s="18"/>
      <c r="L300" s="19">
        <f t="shared" ref="L300:L306" si="14">SUM(F300:K300)</f>
        <v>1044.06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5062.62</v>
      </c>
      <c r="G301" s="18">
        <v>854.6</v>
      </c>
      <c r="H301" s="18">
        <v>28722.37</v>
      </c>
      <c r="I301" s="18">
        <v>4174.37</v>
      </c>
      <c r="J301" s="18">
        <v>2475</v>
      </c>
      <c r="K301" s="18"/>
      <c r="L301" s="19">
        <f t="shared" si="14"/>
        <v>41288.959999999999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f>6220.28+759.83</f>
        <v>6980.11</v>
      </c>
      <c r="G302" s="18">
        <f>2367.31+401.49</f>
        <v>2768.8</v>
      </c>
      <c r="H302" s="18"/>
      <c r="I302" s="18"/>
      <c r="J302" s="18"/>
      <c r="K302" s="18"/>
      <c r="L302" s="19">
        <f t="shared" si="14"/>
        <v>9748.91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f>2219.83+4327.95</f>
        <v>6547.78</v>
      </c>
      <c r="G303" s="18">
        <f>1180.47+1596.9</f>
        <v>2777.37</v>
      </c>
      <c r="H303" s="18">
        <v>3824.5</v>
      </c>
      <c r="I303" s="18">
        <v>162.66999999999999</v>
      </c>
      <c r="J303" s="18">
        <v>238.66</v>
      </c>
      <c r="K303" s="18"/>
      <c r="L303" s="19">
        <f t="shared" si="14"/>
        <v>13550.98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v>3861.92</v>
      </c>
      <c r="L304" s="19">
        <f t="shared" si="14"/>
        <v>3861.92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>
        <v>1991.81</v>
      </c>
      <c r="I306" s="18"/>
      <c r="J306" s="18"/>
      <c r="K306" s="18"/>
      <c r="L306" s="19">
        <f t="shared" si="14"/>
        <v>1991.81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35341.730000000003</v>
      </c>
      <c r="G309" s="42">
        <f t="shared" si="15"/>
        <v>10080.83</v>
      </c>
      <c r="H309" s="42">
        <f t="shared" si="15"/>
        <v>42094.049999999996</v>
      </c>
      <c r="I309" s="42">
        <f t="shared" si="15"/>
        <v>10031.83</v>
      </c>
      <c r="J309" s="42">
        <f t="shared" si="15"/>
        <v>3751.06</v>
      </c>
      <c r="K309" s="42">
        <f t="shared" si="15"/>
        <v>3861.92</v>
      </c>
      <c r="L309" s="41">
        <f t="shared" si="15"/>
        <v>105161.41999999998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35190.6</v>
      </c>
      <c r="G315" s="18">
        <v>7726.91</v>
      </c>
      <c r="H315" s="18">
        <v>17569.25</v>
      </c>
      <c r="I315" s="18">
        <v>11179.9</v>
      </c>
      <c r="J315" s="18">
        <v>2473.8000000000002</v>
      </c>
      <c r="K315" s="18"/>
      <c r="L315" s="19">
        <f>SUM(F315:K315)</f>
        <v>74140.459999999992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3954.58</v>
      </c>
      <c r="G317" s="18">
        <v>874.65</v>
      </c>
      <c r="H317" s="18">
        <v>350</v>
      </c>
      <c r="I317" s="18"/>
      <c r="J317" s="18"/>
      <c r="K317" s="18"/>
      <c r="L317" s="19">
        <f>SUM(F317:K317)</f>
        <v>5179.2299999999996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>
        <f>L276+L277+L278+L279+L295+L296+L297+L298+L314+L315+L316+L317</f>
        <v>1043794.74</v>
      </c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>
        <v>89.71</v>
      </c>
      <c r="I319" s="18">
        <v>2399.9699999999998</v>
      </c>
      <c r="J319" s="18"/>
      <c r="K319" s="18"/>
      <c r="L319" s="19">
        <f t="shared" ref="L319:L325" si="16">SUM(F319:K319)</f>
        <v>2489.6799999999998</v>
      </c>
      <c r="M319" s="8">
        <f>L319+L300+L281</f>
        <v>84876.450000000012</v>
      </c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10800.26</v>
      </c>
      <c r="G320" s="18">
        <v>1823.14</v>
      </c>
      <c r="H320" s="18">
        <v>61274.38</v>
      </c>
      <c r="I320" s="18">
        <v>8905.32</v>
      </c>
      <c r="J320" s="18">
        <v>5280</v>
      </c>
      <c r="K320" s="18"/>
      <c r="L320" s="19">
        <f t="shared" si="16"/>
        <v>88083.1</v>
      </c>
      <c r="M320" s="8">
        <f>L320+L301+L282</f>
        <v>290702.59999999998</v>
      </c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f>14832.98+1772.93</f>
        <v>16605.91</v>
      </c>
      <c r="G321" s="18">
        <f>5645.12+936.8</f>
        <v>6581.92</v>
      </c>
      <c r="H321" s="18"/>
      <c r="I321" s="18"/>
      <c r="J321" s="18"/>
      <c r="K321" s="18"/>
      <c r="L321" s="19">
        <f t="shared" si="16"/>
        <v>23187.83</v>
      </c>
      <c r="M321" s="8">
        <f>L321+L302+L283</f>
        <v>98106.650000000009</v>
      </c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f>5179.59+10320.51</f>
        <v>15500.1</v>
      </c>
      <c r="G322" s="18">
        <f>2754.44+3807.99</f>
        <v>6562.43</v>
      </c>
      <c r="H322" s="18">
        <v>9119.9699999999993</v>
      </c>
      <c r="I322" s="18">
        <v>387.91</v>
      </c>
      <c r="J322" s="18">
        <v>569.11</v>
      </c>
      <c r="K322" s="18"/>
      <c r="L322" s="19">
        <f t="shared" si="16"/>
        <v>32139.52</v>
      </c>
      <c r="M322" s="8">
        <f>L322+L303+L284</f>
        <v>146019.60999999999</v>
      </c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>
        <v>9209.18</v>
      </c>
      <c r="L323" s="19">
        <f t="shared" si="16"/>
        <v>9209.18</v>
      </c>
      <c r="M323" s="8">
        <f>L323+L304+L285</f>
        <v>29707.050000000003</v>
      </c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4749.67</v>
      </c>
      <c r="I325" s="18"/>
      <c r="J325" s="18"/>
      <c r="K325" s="18"/>
      <c r="L325" s="19">
        <f t="shared" si="16"/>
        <v>4749.67</v>
      </c>
      <c r="M325" s="8">
        <f>L325+L306+L287</f>
        <v>26455.55</v>
      </c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>
        <v>91766.19</v>
      </c>
      <c r="L326" s="19">
        <f>SUM(F326:K326)</f>
        <v>91766.19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82051.450000000012</v>
      </c>
      <c r="G328" s="42">
        <f t="shared" si="17"/>
        <v>23569.05</v>
      </c>
      <c r="H328" s="42">
        <f t="shared" si="17"/>
        <v>93152.98</v>
      </c>
      <c r="I328" s="42">
        <f t="shared" si="17"/>
        <v>22873.1</v>
      </c>
      <c r="J328" s="42">
        <f t="shared" si="17"/>
        <v>8322.91</v>
      </c>
      <c r="K328" s="42">
        <f t="shared" si="17"/>
        <v>100975.37</v>
      </c>
      <c r="L328" s="41">
        <f t="shared" si="17"/>
        <v>330944.86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5517.5</v>
      </c>
      <c r="G333" s="18">
        <f>957.84+422.09</f>
        <v>1379.93</v>
      </c>
      <c r="H333" s="18"/>
      <c r="I333" s="18"/>
      <c r="J333" s="18"/>
      <c r="K333" s="18"/>
      <c r="L333" s="19">
        <f t="shared" si="18"/>
        <v>6897.43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5517.5</v>
      </c>
      <c r="G337" s="41">
        <f t="shared" si="19"/>
        <v>1379.93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6897.43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931345.99</v>
      </c>
      <c r="G338" s="41">
        <f t="shared" si="20"/>
        <v>278415.12</v>
      </c>
      <c r="H338" s="41">
        <f t="shared" si="20"/>
        <v>320961.79000000004</v>
      </c>
      <c r="I338" s="41">
        <f t="shared" si="20"/>
        <v>114637.4</v>
      </c>
      <c r="J338" s="41">
        <f t="shared" si="20"/>
        <v>36256.83</v>
      </c>
      <c r="K338" s="41">
        <f t="shared" si="20"/>
        <v>136977.16</v>
      </c>
      <c r="L338" s="41">
        <f t="shared" si="20"/>
        <v>1818594.2899999998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931345.99</v>
      </c>
      <c r="G352" s="41">
        <f>G338</f>
        <v>278415.12</v>
      </c>
      <c r="H352" s="41">
        <f>H338</f>
        <v>320961.79000000004</v>
      </c>
      <c r="I352" s="41">
        <f>I338</f>
        <v>114637.4</v>
      </c>
      <c r="J352" s="41">
        <f>J338</f>
        <v>36256.83</v>
      </c>
      <c r="K352" s="47">
        <f>K338+K351</f>
        <v>136977.16</v>
      </c>
      <c r="L352" s="41">
        <f>L338+L351</f>
        <v>1818594.2899999998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180198.19</v>
      </c>
      <c r="G358" s="18">
        <v>81506.84</v>
      </c>
      <c r="H358" s="18">
        <v>8624.8700000000008</v>
      </c>
      <c r="I358" s="18">
        <v>203443.7</v>
      </c>
      <c r="J358" s="18">
        <v>1195.29</v>
      </c>
      <c r="K358" s="18">
        <f>949.77+94+315.54</f>
        <v>1359.31</v>
      </c>
      <c r="L358" s="13">
        <f>SUM(F358:K358)</f>
        <v>476328.2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41831.72</v>
      </c>
      <c r="G359" s="18">
        <v>18921.23</v>
      </c>
      <c r="H359" s="18">
        <v>2002.2</v>
      </c>
      <c r="I359" s="18">
        <v>47228</v>
      </c>
      <c r="J359" s="18">
        <v>277.48</v>
      </c>
      <c r="K359" s="18">
        <v>220.48</v>
      </c>
      <c r="L359" s="19">
        <f>SUM(F359:K359)</f>
        <v>110481.10999999999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99752.57</v>
      </c>
      <c r="G360" s="18">
        <v>45119.86</v>
      </c>
      <c r="H360" s="18">
        <v>4774.4799999999996</v>
      </c>
      <c r="I360" s="18">
        <v>112620.62</v>
      </c>
      <c r="J360" s="18">
        <v>661.68</v>
      </c>
      <c r="K360" s="18">
        <v>525.77</v>
      </c>
      <c r="L360" s="19">
        <f>SUM(F360:K360)</f>
        <v>263454.98000000004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321782.48</v>
      </c>
      <c r="G362" s="47">
        <f t="shared" si="22"/>
        <v>145547.93</v>
      </c>
      <c r="H362" s="47">
        <f t="shared" si="22"/>
        <v>15401.550000000001</v>
      </c>
      <c r="I362" s="47">
        <f t="shared" si="22"/>
        <v>363292.32</v>
      </c>
      <c r="J362" s="47">
        <f t="shared" si="22"/>
        <v>2134.4499999999998</v>
      </c>
      <c r="K362" s="47">
        <f t="shared" si="22"/>
        <v>2105.56</v>
      </c>
      <c r="L362" s="47">
        <f t="shared" si="22"/>
        <v>850264.29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191240.78</v>
      </c>
      <c r="G367" s="18">
        <v>44395.18</v>
      </c>
      <c r="H367" s="18">
        <v>105865.43</v>
      </c>
      <c r="I367" s="56">
        <f>SUM(F367:H367)</f>
        <v>341501.39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12202.93-0.01</f>
        <v>12202.92</v>
      </c>
      <c r="G368" s="63">
        <v>2832.82</v>
      </c>
      <c r="H368" s="63">
        <v>6755.19</v>
      </c>
      <c r="I368" s="56">
        <f>SUM(F368:H368)</f>
        <v>21790.93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203443.7</v>
      </c>
      <c r="G369" s="47">
        <f>SUM(G367:G368)</f>
        <v>47228</v>
      </c>
      <c r="H369" s="47">
        <f>SUM(H367:H368)</f>
        <v>112620.62</v>
      </c>
      <c r="I369" s="47">
        <f>SUM(I367:I368)</f>
        <v>363292.32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>
        <f>643008.13+355+6235.58+23105</f>
        <v>672703.71</v>
      </c>
      <c r="I379" s="18"/>
      <c r="J379" s="18"/>
      <c r="K379" s="18"/>
      <c r="L379" s="13">
        <f t="shared" si="23"/>
        <v>672703.71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672703.71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672703.71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38.380000000000003</v>
      </c>
      <c r="I389" s="18"/>
      <c r="J389" s="24" t="s">
        <v>286</v>
      </c>
      <c r="K389" s="24" t="s">
        <v>286</v>
      </c>
      <c r="L389" s="56">
        <f t="shared" si="25"/>
        <v>38.380000000000003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38.380000000000003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38.380000000000003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f>755.2+26.45</f>
        <v>781.65000000000009</v>
      </c>
      <c r="I395" s="18"/>
      <c r="J395" s="24" t="s">
        <v>286</v>
      </c>
      <c r="K395" s="24" t="s">
        <v>286</v>
      </c>
      <c r="L395" s="56">
        <f t="shared" ref="L395:L400" si="26">SUM(F395:K395)</f>
        <v>781.65000000000009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>
        <v>797.9</v>
      </c>
      <c r="I396" s="18"/>
      <c r="J396" s="24" t="s">
        <v>286</v>
      </c>
      <c r="K396" s="24" t="s">
        <v>286</v>
      </c>
      <c r="L396" s="56">
        <f t="shared" si="26"/>
        <v>797.9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3991.18</v>
      </c>
      <c r="I397" s="18"/>
      <c r="J397" s="24" t="s">
        <v>286</v>
      </c>
      <c r="K397" s="24" t="s">
        <v>286</v>
      </c>
      <c r="L397" s="56">
        <f t="shared" si="26"/>
        <v>3991.18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f>692.5+0.19</f>
        <v>692.69</v>
      </c>
      <c r="I400" s="18"/>
      <c r="J400" s="24" t="s">
        <v>286</v>
      </c>
      <c r="K400" s="24" t="s">
        <v>286</v>
      </c>
      <c r="L400" s="56">
        <f t="shared" si="26"/>
        <v>692.69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6263.42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6263.42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6301.8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6301.8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10805.43</v>
      </c>
      <c r="L426" s="56">
        <f t="shared" si="29"/>
        <v>10805.43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10805.43</v>
      </c>
      <c r="L427" s="47">
        <f t="shared" si="30"/>
        <v>10805.43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10805.43</v>
      </c>
      <c r="L434" s="47">
        <f t="shared" si="32"/>
        <v>10805.43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f>3015.12+38.38</f>
        <v>3053.5</v>
      </c>
      <c r="G442" s="18">
        <f>503721.66-38.38</f>
        <v>503683.27999999997</v>
      </c>
      <c r="H442" s="18"/>
      <c r="I442" s="56">
        <f t="shared" si="33"/>
        <v>506736.77999999997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3053.5</v>
      </c>
      <c r="G446" s="13">
        <f>SUM(G439:G445)</f>
        <v>503683.27999999997</v>
      </c>
      <c r="H446" s="13">
        <f>SUM(H439:H445)</f>
        <v>0</v>
      </c>
      <c r="I446" s="13">
        <f>SUM(I439:I445)</f>
        <v>506736.77999999997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3015.12+38.38</f>
        <v>3053.5</v>
      </c>
      <c r="G459" s="18">
        <f>506736.78-3015.12-38.38</f>
        <v>503683.28</v>
      </c>
      <c r="H459" s="18"/>
      <c r="I459" s="56">
        <f t="shared" si="34"/>
        <v>506736.78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3053.5</v>
      </c>
      <c r="G460" s="83">
        <f>SUM(G454:G459)</f>
        <v>503683.28</v>
      </c>
      <c r="H460" s="83">
        <f>SUM(H454:H459)</f>
        <v>0</v>
      </c>
      <c r="I460" s="83">
        <f>SUM(I454:I459)</f>
        <v>506736.78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3053.5</v>
      </c>
      <c r="G461" s="42">
        <f>G452+G460</f>
        <v>503683.28</v>
      </c>
      <c r="H461" s="42">
        <f>H452+H460</f>
        <v>0</v>
      </c>
      <c r="I461" s="42">
        <f>I452+I460</f>
        <v>506736.78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1959131.99</v>
      </c>
      <c r="G465" s="18">
        <v>265397.15000000002</v>
      </c>
      <c r="H465" s="18">
        <v>46235.03</v>
      </c>
      <c r="I465" s="18">
        <v>612806.30000000005</v>
      </c>
      <c r="J465" s="18">
        <v>511240.41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30591849.440000005</v>
      </c>
      <c r="G468" s="18">
        <f>G193</f>
        <v>860164.5</v>
      </c>
      <c r="H468" s="18">
        <f>H193</f>
        <v>1852368.2</v>
      </c>
      <c r="I468" s="18">
        <f>I193</f>
        <v>193000</v>
      </c>
      <c r="J468" s="18">
        <f>J193</f>
        <v>6301.8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30591849.440000005</v>
      </c>
      <c r="G470" s="53">
        <f>SUM(G468:G469)</f>
        <v>860164.5</v>
      </c>
      <c r="H470" s="53">
        <f>SUM(H468:H469)</f>
        <v>1852368.2</v>
      </c>
      <c r="I470" s="53">
        <f>SUM(I468:I469)</f>
        <v>193000</v>
      </c>
      <c r="J470" s="53">
        <f>SUM(J468:J469)</f>
        <v>6301.8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29822733.880000003</v>
      </c>
      <c r="G472" s="18">
        <f>L362</f>
        <v>850264.29</v>
      </c>
      <c r="H472" s="18">
        <f>L352</f>
        <v>1818594.2899999998</v>
      </c>
      <c r="I472" s="18">
        <f>L382</f>
        <v>672703.71</v>
      </c>
      <c r="J472" s="18">
        <f>L434</f>
        <v>10805.43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29822733.880000003</v>
      </c>
      <c r="G474" s="53">
        <f>SUM(G472:G473)</f>
        <v>850264.29</v>
      </c>
      <c r="H474" s="53">
        <f>SUM(H472:H473)</f>
        <v>1818594.2899999998</v>
      </c>
      <c r="I474" s="53">
        <f>SUM(I472:I473)</f>
        <v>672703.71</v>
      </c>
      <c r="J474" s="53">
        <f>SUM(J472:J473)</f>
        <v>10805.43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2728247.5500000007</v>
      </c>
      <c r="G476" s="53">
        <f>(G465+G470)- G474</f>
        <v>275297.35999999987</v>
      </c>
      <c r="H476" s="53">
        <f>(H465+H470)- H474</f>
        <v>80008.940000000177</v>
      </c>
      <c r="I476" s="53">
        <f>(I465+I470)- I474</f>
        <v>133102.59000000008</v>
      </c>
      <c r="J476" s="53">
        <f>(J465+J470)- J474</f>
        <v>506736.77999999997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F198+F277-F531</f>
        <v>1869076.15</v>
      </c>
      <c r="G521" s="18">
        <f>G198+G277-G531</f>
        <v>1203869.5400000003</v>
      </c>
      <c r="H521" s="18">
        <f>H198+H277-H531</f>
        <v>1215213.58</v>
      </c>
      <c r="I521" s="18">
        <f>I198+I277-I531</f>
        <v>30823.16</v>
      </c>
      <c r="J521" s="18">
        <f>J198+J277</f>
        <v>4880.53</v>
      </c>
      <c r="K521" s="18">
        <f>K198-K531</f>
        <v>380.8</v>
      </c>
      <c r="L521" s="88">
        <f>SUM(F521:K521)</f>
        <v>4324243.7600000007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F216+F296-F532</f>
        <v>355940.54000000004</v>
      </c>
      <c r="G522" s="18">
        <f>G216+G296-G532</f>
        <v>176753.80999999997</v>
      </c>
      <c r="H522" s="18">
        <f>H216+H296-H532</f>
        <v>283314.84999999998</v>
      </c>
      <c r="I522" s="18">
        <f>I216+I296-I532</f>
        <v>7006.31</v>
      </c>
      <c r="J522" s="18">
        <f>J216+J296</f>
        <v>1111.8800000000001</v>
      </c>
      <c r="K522" s="18">
        <f>K216-K532</f>
        <v>289.40000000000003</v>
      </c>
      <c r="L522" s="88">
        <f>SUM(F522:K522)</f>
        <v>824416.79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F234+F315-F533</f>
        <v>832633.13</v>
      </c>
      <c r="G523" s="18">
        <f>G234+G315-G533</f>
        <v>412976.81</v>
      </c>
      <c r="H523" s="18">
        <f>H234+H315-H533</f>
        <v>675534.67</v>
      </c>
      <c r="I523" s="18">
        <f>I234+I315-I533</f>
        <v>16622.199999999997</v>
      </c>
      <c r="J523" s="18">
        <f>J234+J315</f>
        <v>2651.4100000000003</v>
      </c>
      <c r="K523" s="18">
        <f>K234-K533</f>
        <v>679.8</v>
      </c>
      <c r="L523" s="88">
        <f>SUM(F523:K523)</f>
        <v>1941098.0199999998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3057649.82</v>
      </c>
      <c r="G524" s="108">
        <f t="shared" ref="G524:L524" si="36">SUM(G521:G523)</f>
        <v>1793600.1600000004</v>
      </c>
      <c r="H524" s="108">
        <f t="shared" si="36"/>
        <v>2174063.1</v>
      </c>
      <c r="I524" s="108">
        <f t="shared" si="36"/>
        <v>54451.67</v>
      </c>
      <c r="J524" s="108">
        <f t="shared" si="36"/>
        <v>8643.82</v>
      </c>
      <c r="K524" s="108">
        <f t="shared" si="36"/>
        <v>1350</v>
      </c>
      <c r="L524" s="89">
        <f t="shared" si="36"/>
        <v>7089758.5700000003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360028.22</v>
      </c>
      <c r="G526" s="18">
        <v>168340.45</v>
      </c>
      <c r="H526" s="18">
        <v>1695.25</v>
      </c>
      <c r="I526" s="18">
        <v>9008.0300000000007</v>
      </c>
      <c r="J526" s="18"/>
      <c r="K526" s="18"/>
      <c r="L526" s="88">
        <f>SUM(F526:K526)</f>
        <v>539071.94999999995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83577.98</v>
      </c>
      <c r="G527" s="18">
        <v>39079.03</v>
      </c>
      <c r="H527" s="18">
        <v>393.54</v>
      </c>
      <c r="I527" s="18">
        <v>2091.15</v>
      </c>
      <c r="J527" s="18"/>
      <c r="K527" s="18"/>
      <c r="L527" s="88">
        <f>SUM(F527:K527)</f>
        <v>125141.69999999998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199301.33</v>
      </c>
      <c r="G528" s="18">
        <v>93188.46</v>
      </c>
      <c r="H528" s="18">
        <v>938.44</v>
      </c>
      <c r="I528" s="18">
        <v>4986.59</v>
      </c>
      <c r="J528" s="18"/>
      <c r="K528" s="18"/>
      <c r="L528" s="88">
        <f>SUM(F528:K528)</f>
        <v>298414.82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642907.52999999991</v>
      </c>
      <c r="G529" s="89">
        <f t="shared" ref="G529:L529" si="37">SUM(G526:G528)</f>
        <v>300607.94</v>
      </c>
      <c r="H529" s="89">
        <f t="shared" si="37"/>
        <v>3027.23</v>
      </c>
      <c r="I529" s="89">
        <f t="shared" si="37"/>
        <v>16085.77</v>
      </c>
      <c r="J529" s="89">
        <f t="shared" si="37"/>
        <v>0</v>
      </c>
      <c r="K529" s="89">
        <f t="shared" si="37"/>
        <v>0</v>
      </c>
      <c r="L529" s="89">
        <f t="shared" si="37"/>
        <v>962628.47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76489.31</v>
      </c>
      <c r="G531" s="18">
        <v>35232.79</v>
      </c>
      <c r="H531" s="18">
        <v>4190.9399999999996</v>
      </c>
      <c r="I531" s="18">
        <v>76.52</v>
      </c>
      <c r="J531" s="18"/>
      <c r="K531" s="18">
        <v>240.8</v>
      </c>
      <c r="L531" s="88">
        <f>SUM(F531:K531)</f>
        <v>116230.36000000002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17756.45</v>
      </c>
      <c r="G532" s="18">
        <v>8179.04</v>
      </c>
      <c r="H532" s="18">
        <v>972.9</v>
      </c>
      <c r="I532" s="18">
        <v>17.760000000000002</v>
      </c>
      <c r="J532" s="18"/>
      <c r="K532" s="18">
        <v>55.9</v>
      </c>
      <c r="L532" s="88">
        <f>SUM(F532:K532)</f>
        <v>26982.050000000003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42342.3</v>
      </c>
      <c r="G533" s="18">
        <v>19503.86</v>
      </c>
      <c r="H533" s="18">
        <v>2319.9899999999998</v>
      </c>
      <c r="I533" s="18">
        <v>42.36</v>
      </c>
      <c r="J533" s="18"/>
      <c r="K533" s="18">
        <v>133.30000000000001</v>
      </c>
      <c r="L533" s="88">
        <f>SUM(F533:K533)</f>
        <v>64341.810000000005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136588.06</v>
      </c>
      <c r="G534" s="89">
        <f t="shared" ref="G534:L534" si="38">SUM(G531:G533)</f>
        <v>62915.69</v>
      </c>
      <c r="H534" s="89">
        <f t="shared" si="38"/>
        <v>7483.829999999999</v>
      </c>
      <c r="I534" s="89">
        <f t="shared" si="38"/>
        <v>136.63999999999999</v>
      </c>
      <c r="J534" s="89">
        <f t="shared" si="38"/>
        <v>0</v>
      </c>
      <c r="K534" s="89">
        <f t="shared" si="38"/>
        <v>430</v>
      </c>
      <c r="L534" s="89">
        <f t="shared" si="38"/>
        <v>207554.22000000003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57736.31</v>
      </c>
      <c r="G541" s="18">
        <v>5207.67</v>
      </c>
      <c r="H541" s="18">
        <v>232576.94</v>
      </c>
      <c r="I541" s="18">
        <v>12472.77</v>
      </c>
      <c r="J541" s="18"/>
      <c r="K541" s="18"/>
      <c r="L541" s="88">
        <f>SUM(F541:K541)</f>
        <v>307993.69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13403.07</v>
      </c>
      <c r="G542" s="18">
        <v>1208.92</v>
      </c>
      <c r="H542" s="18">
        <v>53991.07</v>
      </c>
      <c r="I542" s="18">
        <v>2895.47</v>
      </c>
      <c r="J542" s="18"/>
      <c r="K542" s="18"/>
      <c r="L542" s="88">
        <f>SUM(F542:K542)</f>
        <v>71498.53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31961.17</v>
      </c>
      <c r="G543" s="18">
        <v>2882.82</v>
      </c>
      <c r="H543" s="18">
        <v>128747.95</v>
      </c>
      <c r="I543" s="18">
        <v>6904.57</v>
      </c>
      <c r="J543" s="18"/>
      <c r="K543" s="18"/>
      <c r="L543" s="88">
        <f>SUM(F543:K543)</f>
        <v>170496.51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103100.55</v>
      </c>
      <c r="G544" s="193">
        <f t="shared" ref="G544:L544" si="40">SUM(G541:G543)</f>
        <v>9299.41</v>
      </c>
      <c r="H544" s="193">
        <f t="shared" si="40"/>
        <v>415315.96</v>
      </c>
      <c r="I544" s="193">
        <f t="shared" si="40"/>
        <v>22272.809999999998</v>
      </c>
      <c r="J544" s="193">
        <f t="shared" si="40"/>
        <v>0</v>
      </c>
      <c r="K544" s="193">
        <f t="shared" si="40"/>
        <v>0</v>
      </c>
      <c r="L544" s="193">
        <f t="shared" si="40"/>
        <v>549988.73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3940245.9599999995</v>
      </c>
      <c r="G545" s="89">
        <f t="shared" ref="G545:L545" si="41">G524+G529+G534+G539+G544</f>
        <v>2166423.2000000007</v>
      </c>
      <c r="H545" s="89">
        <f t="shared" si="41"/>
        <v>2599890.12</v>
      </c>
      <c r="I545" s="89">
        <f t="shared" si="41"/>
        <v>92946.89</v>
      </c>
      <c r="J545" s="89">
        <f t="shared" si="41"/>
        <v>8643.82</v>
      </c>
      <c r="K545" s="89">
        <f t="shared" si="41"/>
        <v>1780</v>
      </c>
      <c r="L545" s="89">
        <f t="shared" si="41"/>
        <v>8809929.9900000002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4324243.7600000007</v>
      </c>
      <c r="G549" s="87">
        <f>L526</f>
        <v>539071.94999999995</v>
      </c>
      <c r="H549" s="87">
        <f>L531</f>
        <v>116230.36000000002</v>
      </c>
      <c r="I549" s="87">
        <f>L536</f>
        <v>0</v>
      </c>
      <c r="J549" s="87">
        <f>L541</f>
        <v>307993.69</v>
      </c>
      <c r="K549" s="87">
        <f>SUM(F549:J549)</f>
        <v>5287539.7600000016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824416.79</v>
      </c>
      <c r="G550" s="87">
        <f>L527</f>
        <v>125141.69999999998</v>
      </c>
      <c r="H550" s="87">
        <f>L532</f>
        <v>26982.050000000003</v>
      </c>
      <c r="I550" s="87">
        <f>L537</f>
        <v>0</v>
      </c>
      <c r="J550" s="87">
        <f>L542</f>
        <v>71498.53</v>
      </c>
      <c r="K550" s="87">
        <f>SUM(F550:J550)</f>
        <v>1048039.0700000001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1941098.0199999998</v>
      </c>
      <c r="G551" s="87">
        <f>L528</f>
        <v>298414.82</v>
      </c>
      <c r="H551" s="87">
        <f>L533</f>
        <v>64341.810000000005</v>
      </c>
      <c r="I551" s="87">
        <f>L538</f>
        <v>0</v>
      </c>
      <c r="J551" s="87">
        <f>L543</f>
        <v>170496.51</v>
      </c>
      <c r="K551" s="87">
        <f>SUM(F551:J551)</f>
        <v>2474351.16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7089758.5700000003</v>
      </c>
      <c r="G552" s="89">
        <f t="shared" si="42"/>
        <v>962628.47</v>
      </c>
      <c r="H552" s="89">
        <f t="shared" si="42"/>
        <v>207554.22000000003</v>
      </c>
      <c r="I552" s="89">
        <f t="shared" si="42"/>
        <v>0</v>
      </c>
      <c r="J552" s="89">
        <f t="shared" si="42"/>
        <v>549988.73</v>
      </c>
      <c r="K552" s="89">
        <f t="shared" si="42"/>
        <v>8809929.9900000021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32480</v>
      </c>
      <c r="G562" s="18">
        <v>9149.5300000000007</v>
      </c>
      <c r="H562" s="18"/>
      <c r="I562" s="18"/>
      <c r="J562" s="18"/>
      <c r="K562" s="18"/>
      <c r="L562" s="88">
        <f>SUM(F562:K562)</f>
        <v>41629.53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7540</v>
      </c>
      <c r="G563" s="18">
        <v>2124</v>
      </c>
      <c r="H563" s="18"/>
      <c r="I563" s="18"/>
      <c r="J563" s="18"/>
      <c r="K563" s="18"/>
      <c r="L563" s="88">
        <f>SUM(F563:K563)</f>
        <v>9664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17980</v>
      </c>
      <c r="G564" s="18">
        <v>5064.92</v>
      </c>
      <c r="H564" s="18"/>
      <c r="I564" s="18"/>
      <c r="J564" s="18"/>
      <c r="K564" s="18"/>
      <c r="L564" s="88">
        <f>SUM(F564:K564)</f>
        <v>23044.92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58000</v>
      </c>
      <c r="G565" s="89">
        <f t="shared" si="44"/>
        <v>16338.45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74338.45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58000</v>
      </c>
      <c r="G571" s="89">
        <f t="shared" ref="G571:L571" si="46">G560+G565+G570</f>
        <v>16338.45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74338.45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6912.86</v>
      </c>
      <c r="G575" s="18"/>
      <c r="H575" s="18"/>
      <c r="I575" s="87">
        <f>SUM(F575:H575)</f>
        <v>6912.86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29404.45</v>
      </c>
      <c r="G579" s="18">
        <v>6826.03</v>
      </c>
      <c r="H579" s="18">
        <v>16277.46</v>
      </c>
      <c r="I579" s="87">
        <f t="shared" si="47"/>
        <v>52507.94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832187.22</v>
      </c>
      <c r="G582" s="18">
        <v>193186.32</v>
      </c>
      <c r="H582" s="18">
        <v>460675.07</v>
      </c>
      <c r="I582" s="87">
        <f t="shared" si="47"/>
        <v>1486048.61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56827.51</v>
      </c>
      <c r="I584" s="87">
        <f t="shared" si="47"/>
        <v>56827.51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616649.94-0.01+77159.13</f>
        <v>693809.05999999994</v>
      </c>
      <c r="I591" s="18">
        <f>160505.61+557.22</f>
        <v>161062.82999999999</v>
      </c>
      <c r="J591" s="18">
        <f>381854.16-77716.35</f>
        <v>304137.80999999994</v>
      </c>
      <c r="K591" s="104">
        <f t="shared" ref="K591:K597" si="48">SUM(H591:J591)</f>
        <v>1159009.6999999997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308727.40999999997</v>
      </c>
      <c r="I592" s="18">
        <v>71668.86</v>
      </c>
      <c r="J592" s="18">
        <v>170902.67</v>
      </c>
      <c r="K592" s="104">
        <f t="shared" si="48"/>
        <v>551298.93999999994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19879.2</v>
      </c>
      <c r="K593" s="104">
        <f t="shared" si="48"/>
        <v>19879.2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60055.87</v>
      </c>
      <c r="K594" s="104">
        <f t="shared" si="48"/>
        <v>60055.87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9423.7900000000009</v>
      </c>
      <c r="I597" s="18">
        <v>2187.66</v>
      </c>
      <c r="J597" s="18">
        <v>5216.74</v>
      </c>
      <c r="K597" s="104">
        <f t="shared" si="48"/>
        <v>16828.190000000002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1011960.26</v>
      </c>
      <c r="I598" s="108">
        <f>SUM(I591:I597)</f>
        <v>234919.35</v>
      </c>
      <c r="J598" s="108">
        <f>SUM(J591:J597)</f>
        <v>560192.29</v>
      </c>
      <c r="K598" s="108">
        <f>SUM(K591:K597)</f>
        <v>1807071.8999999997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247694.02-0.11</f>
        <v>247693.91</v>
      </c>
      <c r="I604" s="18">
        <v>65891.3</v>
      </c>
      <c r="J604" s="18">
        <v>156311.64000000001</v>
      </c>
      <c r="K604" s="104">
        <f>SUM(H604:J604)</f>
        <v>469896.85000000003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247693.91</v>
      </c>
      <c r="I605" s="108">
        <f>SUM(I602:I604)</f>
        <v>65891.3</v>
      </c>
      <c r="J605" s="108">
        <f>SUM(J602:J604)</f>
        <v>156311.64000000001</v>
      </c>
      <c r="K605" s="108">
        <f>SUM(K602:K604)</f>
        <v>469896.85000000003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4859075.45</v>
      </c>
      <c r="H617" s="109">
        <f>SUM(F52)</f>
        <v>4859075.45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287361.74</v>
      </c>
      <c r="H618" s="109">
        <f>SUM(G52)</f>
        <v>287361.74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878213.32</v>
      </c>
      <c r="H619" s="109">
        <f>SUM(H52)</f>
        <v>878213.32000000007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133102.59</v>
      </c>
      <c r="H620" s="109">
        <f>SUM(I52)</f>
        <v>133102.59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506736.77999999997</v>
      </c>
      <c r="H621" s="109">
        <f>SUM(J52)</f>
        <v>506736.78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2728247.5500000003</v>
      </c>
      <c r="H622" s="109">
        <f>F476</f>
        <v>2728247.5500000007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275297.36</v>
      </c>
      <c r="H623" s="109">
        <f>G476</f>
        <v>275297.35999999987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80008.94</v>
      </c>
      <c r="H624" s="109">
        <f>H476</f>
        <v>80008.940000000177</v>
      </c>
      <c r="I624" s="121" t="s">
        <v>103</v>
      </c>
      <c r="J624" s="109">
        <f t="shared" si="50"/>
        <v>-1.7462298274040222E-10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133102.59</v>
      </c>
      <c r="H625" s="109">
        <f>I476</f>
        <v>133102.59000000008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506736.78</v>
      </c>
      <c r="H626" s="109">
        <f>J476</f>
        <v>506736.77999999997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30591849.440000005</v>
      </c>
      <c r="H627" s="104">
        <f>SUM(F468)</f>
        <v>30591849.440000005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860164.5</v>
      </c>
      <c r="H628" s="104">
        <f>SUM(G468)</f>
        <v>860164.5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1852368.2</v>
      </c>
      <c r="H629" s="104">
        <f>SUM(H468)</f>
        <v>1852368.2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193000</v>
      </c>
      <c r="H630" s="104">
        <f>SUM(I468)</f>
        <v>193000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6301.8</v>
      </c>
      <c r="H631" s="104">
        <f>SUM(J468)</f>
        <v>6301.8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29822733.880000003</v>
      </c>
      <c r="H632" s="104">
        <f>SUM(F472)</f>
        <v>29822733.880000003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1818594.2899999998</v>
      </c>
      <c r="H633" s="104">
        <f>SUM(H472)</f>
        <v>1818594.2899999998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363292.32</v>
      </c>
      <c r="H634" s="104">
        <f>I369</f>
        <v>363292.32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850264.29</v>
      </c>
      <c r="H635" s="104">
        <f>SUM(G472)</f>
        <v>850264.29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672703.71</v>
      </c>
      <c r="H636" s="104">
        <f>SUM(I472)</f>
        <v>672703.71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6301.8</v>
      </c>
      <c r="H637" s="164">
        <f>SUM(J468)</f>
        <v>6301.8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10805.43</v>
      </c>
      <c r="H638" s="164">
        <f>SUM(J472)</f>
        <v>10805.43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3053.5</v>
      </c>
      <c r="H639" s="104">
        <f>SUM(F461)</f>
        <v>3053.5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503683.27999999997</v>
      </c>
      <c r="H640" s="104">
        <f>SUM(G461)</f>
        <v>503683.28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506736.77999999997</v>
      </c>
      <c r="H642" s="104">
        <f>SUM(I461)</f>
        <v>506736.78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6301.8</v>
      </c>
      <c r="H644" s="104">
        <f>H408</f>
        <v>6301.8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6301.8</v>
      </c>
      <c r="H646" s="104">
        <f>L408</f>
        <v>6301.8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1807071.8999999997</v>
      </c>
      <c r="H647" s="104">
        <f>L208+L226+L244</f>
        <v>1807071.9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469896.85000000003</v>
      </c>
      <c r="H648" s="104">
        <f>(J257+J338)-(J255+J336)</f>
        <v>469896.85000000003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1011960.26</v>
      </c>
      <c r="H649" s="104">
        <f>H598</f>
        <v>1011960.26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234919.35</v>
      </c>
      <c r="H650" s="104">
        <f>I598</f>
        <v>234919.35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560192.28999999992</v>
      </c>
      <c r="H651" s="104">
        <f>J598</f>
        <v>560192.29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193000</v>
      </c>
      <c r="H654" s="104">
        <f>K265+K346</f>
        <v>193000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18190496.099999998</v>
      </c>
      <c r="G660" s="19">
        <f>(L229+L309+L359)</f>
        <v>4160849.77</v>
      </c>
      <c r="H660" s="19">
        <f>(L247+L328+L360)</f>
        <v>9940349.1599999983</v>
      </c>
      <c r="I660" s="19">
        <f>SUM(F660:H660)</f>
        <v>32291695.029999994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224354.63780385745</v>
      </c>
      <c r="G661" s="19">
        <f>(L359/IF(SUM(L358:L360)=0,1,SUM(L358:L360))*(SUM(G97:G110)))</f>
        <v>52037.543479932792</v>
      </c>
      <c r="H661" s="19">
        <f>(L360/IF(SUM(L358:L360)=0,1,SUM(L358:L360))*(SUM(G97:G110)))</f>
        <v>124089.53871620976</v>
      </c>
      <c r="I661" s="19">
        <f>SUM(F661:H661)</f>
        <v>400481.72000000003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1031674.33</v>
      </c>
      <c r="G662" s="19">
        <f>(L226+L306)-(J226+J306)</f>
        <v>236911.16</v>
      </c>
      <c r="H662" s="19">
        <f>(L244+L325)-(J244+J325)</f>
        <v>564941.96</v>
      </c>
      <c r="I662" s="19">
        <f>SUM(F662:H662)</f>
        <v>1833527.45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1116198.44</v>
      </c>
      <c r="G663" s="199">
        <f>SUM(G575:G587)+SUM(I602:I604)+L612</f>
        <v>265903.65000000002</v>
      </c>
      <c r="H663" s="199">
        <f>SUM(H575:H587)+SUM(J602:J604)+L613</f>
        <v>690091.68</v>
      </c>
      <c r="I663" s="19">
        <f>SUM(F663:H663)</f>
        <v>2072193.77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15818268.69219614</v>
      </c>
      <c r="G664" s="19">
        <f>G660-SUM(G661:G663)</f>
        <v>3605997.4165200675</v>
      </c>
      <c r="H664" s="19">
        <f>H660-SUM(H661:H663)</f>
        <v>8561225.9812837876</v>
      </c>
      <c r="I664" s="19">
        <f>I660-SUM(I661:I663)</f>
        <v>27985492.089999996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886.31</v>
      </c>
      <c r="G665" s="248">
        <v>215.64</v>
      </c>
      <c r="H665" s="248">
        <v>469.82</v>
      </c>
      <c r="I665" s="19">
        <f>SUM(F665:H665)</f>
        <v>1571.7699999999998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17847.330000000002</v>
      </c>
      <c r="G667" s="19">
        <f>ROUND(G664/G665,2)</f>
        <v>16722.3</v>
      </c>
      <c r="H667" s="19">
        <f>ROUND(H664/H665,2)</f>
        <v>18222.349999999999</v>
      </c>
      <c r="I667" s="19">
        <f>ROUND(I664/I665,2)</f>
        <v>17805.080000000002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-15.22</v>
      </c>
      <c r="I670" s="19">
        <f>SUM(F670:H670)</f>
        <v>-15.22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17847.330000000002</v>
      </c>
      <c r="G672" s="19">
        <f>ROUND((G664+G669)/(G665+G670),2)</f>
        <v>16722.3</v>
      </c>
      <c r="H672" s="19">
        <f>ROUND((H664+H669)/(H665+H670),2)</f>
        <v>18832.439999999999</v>
      </c>
      <c r="I672" s="19">
        <f>ROUND((I664+I669)/(I665+I670),2)</f>
        <v>17979.18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MONADNOCK REGIONAL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6574126.29</v>
      </c>
      <c r="C9" s="229">
        <f>'DOE25'!G197+'DOE25'!G215+'DOE25'!G233+'DOE25'!G276+'DOE25'!G295+'DOE25'!G314</f>
        <v>4210094.22</v>
      </c>
    </row>
    <row r="10" spans="1:3" x14ac:dyDescent="0.2">
      <c r="A10" t="s">
        <v>773</v>
      </c>
      <c r="B10" s="240">
        <v>6201625.5499999998</v>
      </c>
      <c r="C10" s="240">
        <v>4046911.61</v>
      </c>
    </row>
    <row r="11" spans="1:3" x14ac:dyDescent="0.2">
      <c r="A11" t="s">
        <v>774</v>
      </c>
      <c r="B11" s="240">
        <v>232264.21</v>
      </c>
      <c r="C11" s="240">
        <v>152454.51</v>
      </c>
    </row>
    <row r="12" spans="1:3" x14ac:dyDescent="0.2">
      <c r="A12" t="s">
        <v>775</v>
      </c>
      <c r="B12" s="240">
        <v>140236.53</v>
      </c>
      <c r="C12" s="240">
        <v>10728.1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6574126.29</v>
      </c>
      <c r="C13" s="231">
        <f>SUM(C10:C12)</f>
        <v>4210094.22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3194237.88</v>
      </c>
      <c r="C18" s="229">
        <f>'DOE25'!G198+'DOE25'!G216+'DOE25'!G234+'DOE25'!G277+'DOE25'!G296+'DOE25'!G315</f>
        <v>1856515.85</v>
      </c>
    </row>
    <row r="19" spans="1:3" x14ac:dyDescent="0.2">
      <c r="A19" t="s">
        <v>773</v>
      </c>
      <c r="B19" s="240">
        <v>1702551.6</v>
      </c>
      <c r="C19" s="240">
        <v>834939.3</v>
      </c>
    </row>
    <row r="20" spans="1:3" x14ac:dyDescent="0.2">
      <c r="A20" t="s">
        <v>774</v>
      </c>
      <c r="B20" s="240">
        <v>1409457.34</v>
      </c>
      <c r="C20" s="240">
        <v>1020481.36</v>
      </c>
    </row>
    <row r="21" spans="1:3" x14ac:dyDescent="0.2">
      <c r="A21" t="s">
        <v>775</v>
      </c>
      <c r="B21" s="240">
        <v>82228.94</v>
      </c>
      <c r="C21" s="240">
        <v>1095.19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3194237.8800000004</v>
      </c>
      <c r="C22" s="231">
        <f>SUM(C19:C21)</f>
        <v>1856515.85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525830.85</v>
      </c>
      <c r="C36" s="235">
        <f>'DOE25'!G200+'DOE25'!G218+'DOE25'!G236+'DOE25'!G279+'DOE25'!G298+'DOE25'!G317</f>
        <v>90139.63</v>
      </c>
    </row>
    <row r="37" spans="1:3" x14ac:dyDescent="0.2">
      <c r="A37" t="s">
        <v>773</v>
      </c>
      <c r="B37" s="240">
        <v>22074.99</v>
      </c>
      <c r="C37" s="240">
        <v>1971.87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503755.86</v>
      </c>
      <c r="C39" s="240">
        <v>88167.76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525830.85</v>
      </c>
      <c r="C40" s="231">
        <f>SUM(C37:C39)</f>
        <v>90139.62999999999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MONADNOCK REGIONAL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18389365.240000002</v>
      </c>
      <c r="D5" s="20">
        <f>SUM('DOE25'!L197:L200)+SUM('DOE25'!L215:L218)+SUM('DOE25'!L233:L236)-F5-G5</f>
        <v>18251021.359999999</v>
      </c>
      <c r="E5" s="243"/>
      <c r="F5" s="255">
        <f>SUM('DOE25'!J197:J200)+SUM('DOE25'!J215:J218)+SUM('DOE25'!J233:J236)</f>
        <v>95440.44</v>
      </c>
      <c r="G5" s="53">
        <f>SUM('DOE25'!K197:K200)+SUM('DOE25'!K215:K218)+SUM('DOE25'!K233:K236)</f>
        <v>42903.44</v>
      </c>
      <c r="H5" s="259"/>
    </row>
    <row r="6" spans="1:9" x14ac:dyDescent="0.2">
      <c r="A6" s="32">
        <v>2100</v>
      </c>
      <c r="B6" t="s">
        <v>795</v>
      </c>
      <c r="C6" s="245">
        <f t="shared" si="0"/>
        <v>1959484.8699999999</v>
      </c>
      <c r="D6" s="20">
        <f>'DOE25'!L202+'DOE25'!L220+'DOE25'!L238-F6-G6</f>
        <v>1955141.8099999998</v>
      </c>
      <c r="E6" s="243"/>
      <c r="F6" s="255">
        <f>'DOE25'!J202+'DOE25'!J220+'DOE25'!J238</f>
        <v>988.06</v>
      </c>
      <c r="G6" s="53">
        <f>'DOE25'!K202+'DOE25'!K220+'DOE25'!K238</f>
        <v>3355</v>
      </c>
      <c r="H6" s="259"/>
    </row>
    <row r="7" spans="1:9" x14ac:dyDescent="0.2">
      <c r="A7" s="32">
        <v>2200</v>
      </c>
      <c r="B7" t="s">
        <v>828</v>
      </c>
      <c r="C7" s="245">
        <f t="shared" si="0"/>
        <v>686657.88</v>
      </c>
      <c r="D7" s="20">
        <f>'DOE25'!L203+'DOE25'!L221+'DOE25'!L239-F7-G7</f>
        <v>682430.93</v>
      </c>
      <c r="E7" s="243"/>
      <c r="F7" s="255">
        <f>'DOE25'!J203+'DOE25'!J221+'DOE25'!J239</f>
        <v>2885.96</v>
      </c>
      <c r="G7" s="53">
        <f>'DOE25'!K203+'DOE25'!K221+'DOE25'!K239</f>
        <v>1340.99</v>
      </c>
      <c r="H7" s="259"/>
    </row>
    <row r="8" spans="1:9" x14ac:dyDescent="0.2">
      <c r="A8" s="32">
        <v>2300</v>
      </c>
      <c r="B8" t="s">
        <v>796</v>
      </c>
      <c r="C8" s="245">
        <f t="shared" si="0"/>
        <v>67369.819999999934</v>
      </c>
      <c r="D8" s="243"/>
      <c r="E8" s="20">
        <f>'DOE25'!L204+'DOE25'!L222+'DOE25'!L240-F8-G8-D9-D11</f>
        <v>47372.089999999938</v>
      </c>
      <c r="F8" s="255">
        <f>'DOE25'!J204+'DOE25'!J222+'DOE25'!J240</f>
        <v>0</v>
      </c>
      <c r="G8" s="53">
        <f>'DOE25'!K204+'DOE25'!K222+'DOE25'!K240</f>
        <v>19997.73</v>
      </c>
      <c r="H8" s="259"/>
    </row>
    <row r="9" spans="1:9" x14ac:dyDescent="0.2">
      <c r="A9" s="32">
        <v>2310</v>
      </c>
      <c r="B9" t="s">
        <v>812</v>
      </c>
      <c r="C9" s="245">
        <f t="shared" si="0"/>
        <v>291007.09000000003</v>
      </c>
      <c r="D9" s="244">
        <v>291007.09000000003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10194.77</v>
      </c>
      <c r="D10" s="243"/>
      <c r="E10" s="244">
        <v>10194.77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246410.42</v>
      </c>
      <c r="D11" s="244">
        <v>246410.42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1737561.1500000001</v>
      </c>
      <c r="D12" s="20">
        <f>'DOE25'!L205+'DOE25'!L223+'DOE25'!L241-F12-G12</f>
        <v>1729519.11</v>
      </c>
      <c r="E12" s="243"/>
      <c r="F12" s="255">
        <f>'DOE25'!J205+'DOE25'!J223+'DOE25'!J241</f>
        <v>2662.04</v>
      </c>
      <c r="G12" s="53">
        <f>'DOE25'!K205+'DOE25'!K223+'DOE25'!K241</f>
        <v>5380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855859.33000000007</v>
      </c>
      <c r="D13" s="243"/>
      <c r="E13" s="20">
        <f>'DOE25'!L206+'DOE25'!L224+'DOE25'!L242-F13-G13</f>
        <v>851601.82000000007</v>
      </c>
      <c r="F13" s="255">
        <f>'DOE25'!J206+'DOE25'!J224+'DOE25'!J242</f>
        <v>3982.5099999999998</v>
      </c>
      <c r="G13" s="53">
        <f>'DOE25'!K206+'DOE25'!K224+'DOE25'!K242</f>
        <v>275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2271633.86</v>
      </c>
      <c r="D14" s="20">
        <f>'DOE25'!L207+'DOE25'!L225+'DOE25'!L243-F14-G14</f>
        <v>2221365.38</v>
      </c>
      <c r="E14" s="243"/>
      <c r="F14" s="255">
        <f>'DOE25'!J207+'DOE25'!J225+'DOE25'!J243</f>
        <v>50268.480000000003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1807071.9</v>
      </c>
      <c r="D15" s="20">
        <f>'DOE25'!L208+'DOE25'!L226+'DOE25'!L244-F15-G15</f>
        <v>1807071.9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1317312.32</v>
      </c>
      <c r="D16" s="243"/>
      <c r="E16" s="20">
        <f>'DOE25'!L209+'DOE25'!L227+'DOE25'!L245-F16-G16</f>
        <v>1039899.79</v>
      </c>
      <c r="F16" s="255">
        <f>'DOE25'!J209+'DOE25'!J227+'DOE25'!J245</f>
        <v>277412.53000000003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508762.9</v>
      </c>
      <c r="D29" s="20">
        <f>'DOE25'!L358+'DOE25'!L359+'DOE25'!L360-'DOE25'!I367-F29-G29</f>
        <v>504522.89</v>
      </c>
      <c r="E29" s="243"/>
      <c r="F29" s="255">
        <f>'DOE25'!J358+'DOE25'!J359+'DOE25'!J360</f>
        <v>2134.4499999999998</v>
      </c>
      <c r="G29" s="53">
        <f>'DOE25'!K358+'DOE25'!K359+'DOE25'!K360</f>
        <v>2105.56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1818594.2899999998</v>
      </c>
      <c r="D31" s="20">
        <f>'DOE25'!L290+'DOE25'!L309+'DOE25'!L328+'DOE25'!L333+'DOE25'!L334+'DOE25'!L335-F31-G31</f>
        <v>1645360.2999999998</v>
      </c>
      <c r="E31" s="243"/>
      <c r="F31" s="255">
        <f>'DOE25'!J290+'DOE25'!J309+'DOE25'!J328+'DOE25'!J333+'DOE25'!J334+'DOE25'!J335</f>
        <v>36256.83</v>
      </c>
      <c r="G31" s="53">
        <f>'DOE25'!K290+'DOE25'!K309+'DOE25'!K328+'DOE25'!K333+'DOE25'!K334+'DOE25'!K335</f>
        <v>136977.16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29333851.189999998</v>
      </c>
      <c r="E33" s="246">
        <f>SUM(E5:E31)</f>
        <v>1949068.4700000002</v>
      </c>
      <c r="F33" s="246">
        <f>SUM(F5:F31)</f>
        <v>472031.30000000005</v>
      </c>
      <c r="G33" s="246">
        <f>SUM(G5:G31)</f>
        <v>212334.88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1949068.4700000002</v>
      </c>
      <c r="E35" s="249"/>
    </row>
    <row r="36" spans="2:8" ht="12" thickTop="1" x14ac:dyDescent="0.2">
      <c r="B36" t="s">
        <v>809</v>
      </c>
      <c r="D36" s="20">
        <f>D33</f>
        <v>29333851.189999998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M46" sqref="M4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MONADNOCK REGIONAL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3260308.86</v>
      </c>
      <c r="D8" s="95">
        <f>'DOE25'!G9</f>
        <v>33332.28</v>
      </c>
      <c r="E8" s="95">
        <f>'DOE25'!H9</f>
        <v>69462.09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691.33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698761.52</v>
      </c>
      <c r="D11" s="95">
        <f>'DOE25'!G12</f>
        <v>205180.83</v>
      </c>
      <c r="E11" s="95">
        <f>'DOE25'!H12</f>
        <v>126811.25</v>
      </c>
      <c r="F11" s="95">
        <f>'DOE25'!I12</f>
        <v>133102.59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879438.65</v>
      </c>
      <c r="D12" s="95">
        <f>'DOE25'!G13</f>
        <v>12001.34</v>
      </c>
      <c r="E12" s="95">
        <f>'DOE25'!H13</f>
        <v>681939.98</v>
      </c>
      <c r="F12" s="95">
        <f>'DOE25'!I13</f>
        <v>0</v>
      </c>
      <c r="G12" s="95">
        <f>'DOE25'!J13</f>
        <v>506736.77999999997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17922.22</v>
      </c>
      <c r="D13" s="95">
        <f>'DOE25'!G14</f>
        <v>36847.29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1952.87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4859075.45</v>
      </c>
      <c r="D18" s="41">
        <f>SUM(D8:D17)</f>
        <v>287361.74</v>
      </c>
      <c r="E18" s="41">
        <f>SUM(E8:E17)</f>
        <v>878213.32</v>
      </c>
      <c r="F18" s="41">
        <f>SUM(F8:F17)</f>
        <v>133102.59</v>
      </c>
      <c r="G18" s="41">
        <f>SUM(G8:G17)</f>
        <v>506736.77999999997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401488.51</v>
      </c>
      <c r="D21" s="95">
        <f>'DOE25'!G22</f>
        <v>0</v>
      </c>
      <c r="E21" s="95">
        <f>'DOE25'!H22</f>
        <v>761758.01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442633.93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533434.86</v>
      </c>
      <c r="D23" s="95">
        <f>'DOE25'!G24</f>
        <v>12064.38</v>
      </c>
      <c r="E23" s="95">
        <f>'DOE25'!H24</f>
        <v>36446.370000000003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738118.38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15152.22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2130827.9</v>
      </c>
      <c r="D31" s="41">
        <f>SUM(D21:D30)</f>
        <v>12064.38</v>
      </c>
      <c r="E31" s="41">
        <f>SUM(E21:E30)</f>
        <v>798204.38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1952.87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275297.36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133102.59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80008.94</v>
      </c>
      <c r="F47" s="95">
        <f>'DOE25'!I48</f>
        <v>0</v>
      </c>
      <c r="G47" s="95">
        <f>'DOE25'!J48</f>
        <v>506736.78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345213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2381081.6800000002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2728247.5500000003</v>
      </c>
      <c r="D50" s="41">
        <f>SUM(D34:D49)</f>
        <v>275297.36</v>
      </c>
      <c r="E50" s="41">
        <f>SUM(E34:E49)</f>
        <v>80008.94</v>
      </c>
      <c r="F50" s="41">
        <f>SUM(F34:F49)</f>
        <v>133102.59</v>
      </c>
      <c r="G50" s="41">
        <f>SUM(G34:G49)</f>
        <v>506736.78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4859075.45</v>
      </c>
      <c r="D51" s="41">
        <f>D50+D31</f>
        <v>287361.74</v>
      </c>
      <c r="E51" s="41">
        <f>E50+E31</f>
        <v>878213.32000000007</v>
      </c>
      <c r="F51" s="41">
        <f>F50+F31</f>
        <v>133102.59</v>
      </c>
      <c r="G51" s="41">
        <f>G50+G31</f>
        <v>506736.78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17392472.050000001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57466.92</v>
      </c>
      <c r="D57" s="24" t="s">
        <v>286</v>
      </c>
      <c r="E57" s="95">
        <f>'DOE25'!H79</f>
        <v>331191.78999999998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6301.8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400481.72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285478.34999999998</v>
      </c>
      <c r="D61" s="95">
        <f>SUM('DOE25'!G98:G110)</f>
        <v>0</v>
      </c>
      <c r="E61" s="95">
        <f>SUM('DOE25'!H98:H110)</f>
        <v>7404.74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342945.26999999996</v>
      </c>
      <c r="D62" s="130">
        <f>SUM(D57:D61)</f>
        <v>400481.72</v>
      </c>
      <c r="E62" s="130">
        <f>SUM(E57:E61)</f>
        <v>338596.52999999997</v>
      </c>
      <c r="F62" s="130">
        <f>SUM(F57:F61)</f>
        <v>0</v>
      </c>
      <c r="G62" s="130">
        <f>SUM(G57:G61)</f>
        <v>6301.8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17735417.32</v>
      </c>
      <c r="D63" s="22">
        <f>D56+D62</f>
        <v>400481.72</v>
      </c>
      <c r="E63" s="22">
        <f>E56+E62</f>
        <v>338596.52999999997</v>
      </c>
      <c r="F63" s="22">
        <f>F56+F62</f>
        <v>0</v>
      </c>
      <c r="G63" s="22">
        <f>G56+G62</f>
        <v>6301.8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9326243.0600000005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2285899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26576.51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11638718.57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560204.43000000005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326419.18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6996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11724.87</v>
      </c>
      <c r="E77" s="95">
        <f>SUM('DOE25'!H131:H135)</f>
        <v>6897.43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893619.6100000001</v>
      </c>
      <c r="D78" s="130">
        <f>SUM(D72:D77)</f>
        <v>11724.87</v>
      </c>
      <c r="E78" s="130">
        <f>SUM(E72:E77)</f>
        <v>6897.43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12532338.18</v>
      </c>
      <c r="D81" s="130">
        <f>SUM(D79:D80)+D78+D70</f>
        <v>11724.87</v>
      </c>
      <c r="E81" s="130">
        <f>SUM(E79:E80)+E78+E70</f>
        <v>6897.43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39651.800000000003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324093.94</v>
      </c>
      <c r="D88" s="95">
        <f>SUM('DOE25'!G153:G161)</f>
        <v>447957.91000000003</v>
      </c>
      <c r="E88" s="95">
        <f>SUM('DOE25'!H153:H161)</f>
        <v>1456417.0100000002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324093.94</v>
      </c>
      <c r="D91" s="131">
        <f>SUM(D85:D90)</f>
        <v>447957.91000000003</v>
      </c>
      <c r="E91" s="131">
        <f>SUM(E85:E90)</f>
        <v>1496068.8100000003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193000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10805.43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10805.43</v>
      </c>
      <c r="F103" s="86">
        <f>SUM(F93:F102)</f>
        <v>193000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30591849.440000001</v>
      </c>
      <c r="D104" s="86">
        <f>D63+D81+D91+D103</f>
        <v>860164.5</v>
      </c>
      <c r="E104" s="86">
        <f>E63+E81+E91+E103</f>
        <v>1852368.2000000002</v>
      </c>
      <c r="F104" s="86">
        <f>F63+F81+F91+F103</f>
        <v>193000</v>
      </c>
      <c r="G104" s="86">
        <f>G63+G81+G103</f>
        <v>6301.8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11054801.449999999</v>
      </c>
      <c r="D109" s="24" t="s">
        <v>286</v>
      </c>
      <c r="E109" s="95">
        <f>('DOE25'!L276)+('DOE25'!L295)+('DOE25'!L314)</f>
        <v>258817.04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6931862.5100000007</v>
      </c>
      <c r="D110" s="24" t="s">
        <v>286</v>
      </c>
      <c r="E110" s="95">
        <f>('DOE25'!L277)+('DOE25'!L296)+('DOE25'!L315)</f>
        <v>365450.28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56827.51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345873.76999999996</v>
      </c>
      <c r="D112" s="24" t="s">
        <v>286</v>
      </c>
      <c r="E112" s="95">
        <f>+('DOE25'!L279)+('DOE25'!L298)+('DOE25'!L317)</f>
        <v>419527.42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6897.43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18389365.240000002</v>
      </c>
      <c r="D115" s="86">
        <f>SUM(D109:D114)</f>
        <v>0</v>
      </c>
      <c r="E115" s="86">
        <f>SUM(E109:E114)</f>
        <v>1050692.17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1959484.8699999999</v>
      </c>
      <c r="D118" s="24" t="s">
        <v>286</v>
      </c>
      <c r="E118" s="95">
        <f>+('DOE25'!L281)+('DOE25'!L300)+('DOE25'!L319)</f>
        <v>84876.45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686657.88</v>
      </c>
      <c r="D119" s="24" t="s">
        <v>286</v>
      </c>
      <c r="E119" s="95">
        <f>+('DOE25'!L282)+('DOE25'!L301)+('DOE25'!L320)</f>
        <v>290702.59999999998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604787.32999999996</v>
      </c>
      <c r="D120" s="24" t="s">
        <v>286</v>
      </c>
      <c r="E120" s="95">
        <f>+('DOE25'!L283)+('DOE25'!L302)+('DOE25'!L321)</f>
        <v>98106.650000000009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1737561.1500000001</v>
      </c>
      <c r="D121" s="24" t="s">
        <v>286</v>
      </c>
      <c r="E121" s="95">
        <f>+('DOE25'!L284)+('DOE25'!L303)+('DOE25'!L322)</f>
        <v>146019.60999999999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855859.33000000007</v>
      </c>
      <c r="D122" s="24" t="s">
        <v>286</v>
      </c>
      <c r="E122" s="95">
        <f>+('DOE25'!L285)+('DOE25'!L304)+('DOE25'!L323)</f>
        <v>29707.050000000003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2271633.86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1807071.9</v>
      </c>
      <c r="D124" s="24" t="s">
        <v>286</v>
      </c>
      <c r="E124" s="95">
        <f>+('DOE25'!L287)+('DOE25'!L306)+('DOE25'!L325)</f>
        <v>26455.550000000003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1317312.32</v>
      </c>
      <c r="D125" s="24" t="s">
        <v>286</v>
      </c>
      <c r="E125" s="95">
        <f>+('DOE25'!L288)+('DOE25'!L307)+('DOE25'!L326)</f>
        <v>92034.21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850264.29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11240368.640000001</v>
      </c>
      <c r="D128" s="86">
        <f>SUM(D118:D127)</f>
        <v>850264.29</v>
      </c>
      <c r="E128" s="86">
        <f>SUM(E118:E127)</f>
        <v>767902.12000000011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672703.71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10805.43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193000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38.380000000000003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6263.42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-6301.8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193000.00000000003</v>
      </c>
      <c r="D144" s="141">
        <f>SUM(D130:D143)</f>
        <v>0</v>
      </c>
      <c r="E144" s="141">
        <f>SUM(E130:E143)</f>
        <v>0</v>
      </c>
      <c r="F144" s="141">
        <f>SUM(F130:F143)</f>
        <v>672703.71</v>
      </c>
      <c r="G144" s="141">
        <f>SUM(G130:G143)</f>
        <v>10805.43</v>
      </c>
    </row>
    <row r="145" spans="1:9" ht="12.75" thickTop="1" thickBot="1" x14ac:dyDescent="0.25">
      <c r="A145" s="33" t="s">
        <v>244</v>
      </c>
      <c r="C145" s="86">
        <f>(C115+C128+C144)</f>
        <v>29822733.880000003</v>
      </c>
      <c r="D145" s="86">
        <f>(D115+D128+D144)</f>
        <v>850264.29</v>
      </c>
      <c r="E145" s="86">
        <f>(E115+E128+E144)</f>
        <v>1818594.29</v>
      </c>
      <c r="F145" s="86">
        <f>(F115+F128+F144)</f>
        <v>672703.71</v>
      </c>
      <c r="G145" s="86">
        <f>(G115+G128+G144)</f>
        <v>10805.43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MONADNOCK REGIONAL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17847</v>
      </c>
    </row>
    <row r="5" spans="1:4" x14ac:dyDescent="0.2">
      <c r="B5" t="s">
        <v>698</v>
      </c>
      <c r="C5" s="179">
        <f>IF('DOE25'!G665+'DOE25'!G670=0,0,ROUND('DOE25'!G672,0))</f>
        <v>16722</v>
      </c>
    </row>
    <row r="6" spans="1:4" x14ac:dyDescent="0.2">
      <c r="B6" t="s">
        <v>62</v>
      </c>
      <c r="C6" s="179">
        <f>IF('DOE25'!H665+'DOE25'!H670=0,0,ROUND('DOE25'!H672,0))</f>
        <v>18832</v>
      </c>
    </row>
    <row r="7" spans="1:4" x14ac:dyDescent="0.2">
      <c r="B7" t="s">
        <v>699</v>
      </c>
      <c r="C7" s="179">
        <f>IF('DOE25'!I665+'DOE25'!I670=0,0,ROUND('DOE25'!I672,0))</f>
        <v>17979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11313618</v>
      </c>
      <c r="D10" s="182">
        <f>ROUND((C10/$C$28)*100,1)</f>
        <v>35.5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7297313</v>
      </c>
      <c r="D11" s="182">
        <f>ROUND((C11/$C$28)*100,1)</f>
        <v>22.9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56828</v>
      </c>
      <c r="D12" s="182">
        <f>ROUND((C12/$C$28)*100,1)</f>
        <v>0.2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765401</v>
      </c>
      <c r="D13" s="182">
        <f>ROUND((C13/$C$28)*100,1)</f>
        <v>2.4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2044361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977360</v>
      </c>
      <c r="D16" s="182">
        <f t="shared" si="0"/>
        <v>3.1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2112241</v>
      </c>
      <c r="D17" s="182">
        <f t="shared" si="0"/>
        <v>6.6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1883581</v>
      </c>
      <c r="D18" s="182">
        <f t="shared" si="0"/>
        <v>5.9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885566</v>
      </c>
      <c r="D19" s="182">
        <f t="shared" si="0"/>
        <v>2.8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2271634</v>
      </c>
      <c r="D20" s="182">
        <f t="shared" si="0"/>
        <v>7.1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1833527</v>
      </c>
      <c r="D21" s="182">
        <f t="shared" si="0"/>
        <v>5.7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6897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449782.28</v>
      </c>
      <c r="D27" s="182">
        <f t="shared" si="0"/>
        <v>1.4</v>
      </c>
    </row>
    <row r="28" spans="1:4" x14ac:dyDescent="0.2">
      <c r="B28" s="187" t="s">
        <v>717</v>
      </c>
      <c r="C28" s="180">
        <f>SUM(C10:C27)</f>
        <v>31898109.280000001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672704</v>
      </c>
    </row>
    <row r="30" spans="1:4" x14ac:dyDescent="0.2">
      <c r="B30" s="187" t="s">
        <v>723</v>
      </c>
      <c r="C30" s="180">
        <f>SUM(C28:C29)</f>
        <v>32570813.280000001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17392472</v>
      </c>
      <c r="D35" s="182">
        <f t="shared" ref="D35:D40" si="1">ROUND((C35/$C$41)*100,1)</f>
        <v>52.9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687843.65000000596</v>
      </c>
      <c r="D36" s="182">
        <f t="shared" si="1"/>
        <v>2.1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11612142</v>
      </c>
      <c r="D37" s="182">
        <f t="shared" si="1"/>
        <v>35.299999999999997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938818</v>
      </c>
      <c r="D38" s="182">
        <f t="shared" si="1"/>
        <v>2.9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2268121</v>
      </c>
      <c r="D39" s="182">
        <f t="shared" si="1"/>
        <v>6.9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32899396.650000006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MONADNOCK REGIONAL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2018-11-28T17:10:20Z</cp:lastPrinted>
  <dcterms:created xsi:type="dcterms:W3CDTF">1997-12-04T19:04:30Z</dcterms:created>
  <dcterms:modified xsi:type="dcterms:W3CDTF">2018-12-03T19:46:19Z</dcterms:modified>
</cp:coreProperties>
</file>