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2290" windowHeight="105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7" i="12" l="1"/>
  <c r="B20" i="12"/>
  <c r="B21" i="12"/>
  <c r="B10" i="12"/>
  <c r="F368" i="1"/>
  <c r="F367" i="1"/>
  <c r="F465" i="1"/>
  <c r="H526" i="1"/>
  <c r="I611" i="1"/>
  <c r="G611" i="1"/>
  <c r="F611" i="1"/>
  <c r="F579" i="1"/>
  <c r="J465" i="1"/>
  <c r="J472" i="1"/>
  <c r="H472" i="1"/>
  <c r="G472" i="1"/>
  <c r="F472" i="1"/>
  <c r="G468" i="1"/>
  <c r="H468" i="1"/>
  <c r="I468" i="1"/>
  <c r="F468" i="1"/>
  <c r="G459" i="1"/>
  <c r="H202" i="1" l="1"/>
  <c r="H198" i="1"/>
  <c r="G48" i="1"/>
  <c r="F50" i="1"/>
  <c r="F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6" i="10"/>
  <c r="L250" i="1"/>
  <c r="L332" i="1"/>
  <c r="L254" i="1"/>
  <c r="L268" i="1"/>
  <c r="C142" i="2" s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3" i="2"/>
  <c r="E113" i="2"/>
  <c r="D115" i="2"/>
  <c r="F115" i="2"/>
  <c r="G115" i="2"/>
  <c r="C119" i="2"/>
  <c r="E119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G408" i="1" s="1"/>
  <c r="H645" i="1" s="1"/>
  <c r="H407" i="1"/>
  <c r="I407" i="1"/>
  <c r="F408" i="1"/>
  <c r="H643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I446" i="1"/>
  <c r="G642" i="1" s="1"/>
  <c r="F452" i="1"/>
  <c r="G452" i="1"/>
  <c r="H452" i="1"/>
  <c r="H461" i="1" s="1"/>
  <c r="H641" i="1" s="1"/>
  <c r="F460" i="1"/>
  <c r="G460" i="1"/>
  <c r="G461" i="1" s="1"/>
  <c r="H640" i="1" s="1"/>
  <c r="H460" i="1"/>
  <c r="F461" i="1"/>
  <c r="F470" i="1"/>
  <c r="G470" i="1"/>
  <c r="H470" i="1"/>
  <c r="I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7" i="1"/>
  <c r="H628" i="1"/>
  <c r="H629" i="1"/>
  <c r="H630" i="1"/>
  <c r="H632" i="1"/>
  <c r="H633" i="1"/>
  <c r="G634" i="1"/>
  <c r="J634" i="1" s="1"/>
  <c r="H634" i="1"/>
  <c r="H635" i="1"/>
  <c r="H636" i="1"/>
  <c r="H638" i="1"/>
  <c r="G639" i="1"/>
  <c r="H639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A31" i="12"/>
  <c r="F78" i="2"/>
  <c r="G62" i="2"/>
  <c r="D19" i="13"/>
  <c r="C19" i="13" s="1"/>
  <c r="I169" i="1"/>
  <c r="F476" i="1"/>
  <c r="H622" i="1" s="1"/>
  <c r="J140" i="1"/>
  <c r="H140" i="1"/>
  <c r="F552" i="1"/>
  <c r="L570" i="1"/>
  <c r="I571" i="1"/>
  <c r="G36" i="2"/>
  <c r="K551" i="1"/>
  <c r="J645" i="1" l="1"/>
  <c r="I476" i="1"/>
  <c r="H625" i="1" s="1"/>
  <c r="J640" i="1"/>
  <c r="J643" i="1"/>
  <c r="F192" i="1"/>
  <c r="C132" i="2"/>
  <c r="G552" i="1"/>
  <c r="F130" i="2"/>
  <c r="F144" i="2" s="1"/>
  <c r="F145" i="2" s="1"/>
  <c r="L524" i="1"/>
  <c r="K500" i="1"/>
  <c r="H476" i="1"/>
  <c r="H624" i="1" s="1"/>
  <c r="J624" i="1" s="1"/>
  <c r="I460" i="1"/>
  <c r="I452" i="1"/>
  <c r="L433" i="1"/>
  <c r="L427" i="1"/>
  <c r="L434" i="1" s="1"/>
  <c r="G638" i="1" s="1"/>
  <c r="J638" i="1" s="1"/>
  <c r="L419" i="1"/>
  <c r="J644" i="1"/>
  <c r="H192" i="1"/>
  <c r="C91" i="2"/>
  <c r="D81" i="2"/>
  <c r="G81" i="2"/>
  <c r="G161" i="2"/>
  <c r="G157" i="2"/>
  <c r="G156" i="2"/>
  <c r="E118" i="2"/>
  <c r="E128" i="2" s="1"/>
  <c r="L247" i="1"/>
  <c r="J545" i="1"/>
  <c r="G338" i="1"/>
  <c r="G352" i="1" s="1"/>
  <c r="C114" i="2"/>
  <c r="H552" i="1"/>
  <c r="E125" i="2"/>
  <c r="E121" i="2"/>
  <c r="E112" i="2"/>
  <c r="C123" i="2"/>
  <c r="H338" i="1"/>
  <c r="H352" i="1" s="1"/>
  <c r="L309" i="1"/>
  <c r="J651" i="1"/>
  <c r="J641" i="1"/>
  <c r="J639" i="1"/>
  <c r="L534" i="1"/>
  <c r="F338" i="1"/>
  <c r="F352" i="1" s="1"/>
  <c r="J257" i="1"/>
  <c r="J271" i="1" s="1"/>
  <c r="G192" i="1"/>
  <c r="I52" i="1"/>
  <c r="H620" i="1" s="1"/>
  <c r="C26" i="10"/>
  <c r="F112" i="1"/>
  <c r="E120" i="2"/>
  <c r="C121" i="2"/>
  <c r="C109" i="2"/>
  <c r="D18" i="2"/>
  <c r="L393" i="1"/>
  <c r="C138" i="2" s="1"/>
  <c r="E122" i="2"/>
  <c r="E81" i="2"/>
  <c r="I257" i="1"/>
  <c r="C125" i="2"/>
  <c r="J622" i="1"/>
  <c r="F18" i="2"/>
  <c r="G164" i="2"/>
  <c r="E103" i="2"/>
  <c r="E62" i="2"/>
  <c r="E63" i="2" s="1"/>
  <c r="D91" i="2"/>
  <c r="K605" i="1"/>
  <c r="G648" i="1" s="1"/>
  <c r="K598" i="1"/>
  <c r="G647" i="1" s="1"/>
  <c r="K338" i="1"/>
  <c r="K352" i="1" s="1"/>
  <c r="C12" i="10"/>
  <c r="C13" i="10"/>
  <c r="D62" i="2"/>
  <c r="D63" i="2" s="1"/>
  <c r="C78" i="2"/>
  <c r="C70" i="2"/>
  <c r="L362" i="1"/>
  <c r="H661" i="1"/>
  <c r="L270" i="1"/>
  <c r="H25" i="13"/>
  <c r="K257" i="1"/>
  <c r="K271" i="1" s="1"/>
  <c r="C29" i="10"/>
  <c r="E16" i="13"/>
  <c r="C16" i="13" s="1"/>
  <c r="C21" i="10"/>
  <c r="C118" i="2"/>
  <c r="L229" i="1"/>
  <c r="D14" i="13"/>
  <c r="C14" i="13" s="1"/>
  <c r="C10" i="10"/>
  <c r="H257" i="1"/>
  <c r="H271" i="1" s="1"/>
  <c r="G257" i="1"/>
  <c r="G271" i="1" s="1"/>
  <c r="C112" i="2"/>
  <c r="L256" i="1"/>
  <c r="F257" i="1"/>
  <c r="F271" i="1" s="1"/>
  <c r="C17" i="10"/>
  <c r="C20" i="10"/>
  <c r="L211" i="1"/>
  <c r="C18" i="10"/>
  <c r="D7" i="13"/>
  <c r="C7" i="13" s="1"/>
  <c r="A40" i="12"/>
  <c r="D5" i="13"/>
  <c r="C5" i="13" s="1"/>
  <c r="I545" i="1"/>
  <c r="J552" i="1"/>
  <c r="L544" i="1"/>
  <c r="I552" i="1"/>
  <c r="K545" i="1"/>
  <c r="H545" i="1"/>
  <c r="G545" i="1"/>
  <c r="K550" i="1"/>
  <c r="H52" i="1"/>
  <c r="H619" i="1" s="1"/>
  <c r="J619" i="1" s="1"/>
  <c r="E31" i="2"/>
  <c r="D31" i="2"/>
  <c r="D51" i="2" s="1"/>
  <c r="J617" i="1"/>
  <c r="C18" i="2"/>
  <c r="F22" i="13"/>
  <c r="C22" i="13" s="1"/>
  <c r="H112" i="1"/>
  <c r="C36" i="10" s="1"/>
  <c r="E8" i="13"/>
  <c r="C8" i="13" s="1"/>
  <c r="D12" i="13"/>
  <c r="C12" i="13" s="1"/>
  <c r="L290" i="1"/>
  <c r="I271" i="1"/>
  <c r="L539" i="1"/>
  <c r="K503" i="1"/>
  <c r="L382" i="1"/>
  <c r="G636" i="1" s="1"/>
  <c r="J636" i="1" s="1"/>
  <c r="E109" i="2"/>
  <c r="C62" i="2"/>
  <c r="F661" i="1"/>
  <c r="C19" i="10"/>
  <c r="C15" i="10"/>
  <c r="D29" i="13"/>
  <c r="C29" i="13" s="1"/>
  <c r="K549" i="1"/>
  <c r="J623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I662" i="1" s="1"/>
  <c r="H660" i="1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169" i="1"/>
  <c r="C39" i="10" s="1"/>
  <c r="G140" i="1"/>
  <c r="F140" i="1"/>
  <c r="F193" i="1" s="1"/>
  <c r="G627" i="1" s="1"/>
  <c r="J627" i="1" s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G646" i="1" l="1"/>
  <c r="J468" i="1"/>
  <c r="I461" i="1"/>
  <c r="H642" i="1" s="1"/>
  <c r="J642" i="1" s="1"/>
  <c r="H646" i="1"/>
  <c r="D104" i="2"/>
  <c r="L545" i="1"/>
  <c r="G104" i="2"/>
  <c r="E115" i="2"/>
  <c r="E145" i="2" s="1"/>
  <c r="C81" i="2"/>
  <c r="F104" i="2"/>
  <c r="G660" i="1"/>
  <c r="G664" i="1" s="1"/>
  <c r="G667" i="1" s="1"/>
  <c r="E104" i="2"/>
  <c r="F51" i="2"/>
  <c r="G51" i="2"/>
  <c r="J647" i="1"/>
  <c r="H648" i="1"/>
  <c r="J648" i="1" s="1"/>
  <c r="H193" i="1"/>
  <c r="G629" i="1" s="1"/>
  <c r="J629" i="1" s="1"/>
  <c r="H664" i="1"/>
  <c r="H667" i="1" s="1"/>
  <c r="I661" i="1"/>
  <c r="C25" i="13"/>
  <c r="H33" i="13"/>
  <c r="C128" i="2"/>
  <c r="C115" i="2"/>
  <c r="L257" i="1"/>
  <c r="L271" i="1" s="1"/>
  <c r="G632" i="1" s="1"/>
  <c r="J632" i="1" s="1"/>
  <c r="F660" i="1"/>
  <c r="C28" i="10"/>
  <c r="D22" i="10" s="1"/>
  <c r="K552" i="1"/>
  <c r="E51" i="2"/>
  <c r="D31" i="13"/>
  <c r="C31" i="13" s="1"/>
  <c r="C63" i="2"/>
  <c r="E33" i="13"/>
  <c r="D35" i="13" s="1"/>
  <c r="F33" i="13"/>
  <c r="L338" i="1"/>
  <c r="L352" i="1" s="1"/>
  <c r="G633" i="1" s="1"/>
  <c r="J633" i="1" s="1"/>
  <c r="C51" i="2"/>
  <c r="G631" i="1"/>
  <c r="J646" i="1"/>
  <c r="G193" i="1"/>
  <c r="G628" i="1" s="1"/>
  <c r="J628" i="1" s="1"/>
  <c r="G626" i="1"/>
  <c r="J52" i="1"/>
  <c r="H621" i="1" s="1"/>
  <c r="J621" i="1" s="1"/>
  <c r="C38" i="10"/>
  <c r="J470" i="1" l="1"/>
  <c r="J476" i="1" s="1"/>
  <c r="H626" i="1" s="1"/>
  <c r="J626" i="1" s="1"/>
  <c r="H637" i="1"/>
  <c r="J637" i="1" s="1"/>
  <c r="H631" i="1"/>
  <c r="J631" i="1" s="1"/>
  <c r="I660" i="1"/>
  <c r="C104" i="2"/>
  <c r="G672" i="1"/>
  <c r="C5" i="10" s="1"/>
  <c r="H672" i="1"/>
  <c r="C6" i="10" s="1"/>
  <c r="D33" i="13"/>
  <c r="D36" i="13" s="1"/>
  <c r="I664" i="1"/>
  <c r="I672" i="1" s="1"/>
  <c r="C7" i="10" s="1"/>
  <c r="C145" i="2"/>
  <c r="F664" i="1"/>
  <c r="F672" i="1" s="1"/>
  <c r="C4" i="10" s="1"/>
  <c r="D10" i="10"/>
  <c r="D26" i="10"/>
  <c r="D12" i="10"/>
  <c r="D16" i="10"/>
  <c r="D15" i="10"/>
  <c r="D24" i="10"/>
  <c r="D27" i="10"/>
  <c r="D25" i="10"/>
  <c r="D23" i="10"/>
  <c r="D20" i="10"/>
  <c r="D17" i="10"/>
  <c r="D18" i="10"/>
  <c r="C30" i="10"/>
  <c r="D19" i="10"/>
  <c r="D13" i="10"/>
  <c r="D11" i="10"/>
  <c r="D21" i="10"/>
  <c r="H656" i="1"/>
  <c r="C41" i="10"/>
  <c r="D38" i="10" s="1"/>
  <c r="I667" i="1" l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<sst xmlns="http://schemas.openxmlformats.org/spreadsheetml/2006/main" count="3957" uniqueCount="913">
  <si>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</si>
  <si>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</si>
  <si>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</si>
  <si>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</si>
  <si>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</si>
  <si>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</si>
  <si>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</si>
  <si>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</si>
  <si>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</si>
  <si>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</si>
  <si>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</si>
  <si>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</si>
  <si>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</si>
  <si>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</si>
  <si>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</si>
  <si>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</si>
  <si>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</si>
  <si>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</si>
  <si>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</si>
  <si>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</si>
  <si>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</si>
  <si>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</si>
  <si>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</si>
  <si>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</si>
  <si>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</si>
  <si>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</si>
  <si>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</si>
  <si>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</si>
  <si>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</si>
  <si>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</si>
  <si>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</si>
  <si>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</si>
  <si>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</si>
  <si>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</si>
  <si>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</si>
  <si>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</si>
  <si>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</si>
  <si>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</si>
  <si>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</si>
  <si>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</si>
  <si>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</si>
  <si>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</si>
  <si>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</si>
  <si>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</si>
  <si>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</si>
  <si>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</si>
  <si>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</si>
  <si>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</si>
  <si>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</si>
  <si>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</si>
  <si>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</si>
  <si>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</si>
  <si>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</si>
  <si>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</si>
  <si>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</si>
  <si>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</si>
  <si>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</si>
  <si>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</si>
  <si>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</si>
  <si>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</si>
  <si>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</si>
  <si>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</si>
  <si>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</si>
  <si>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</si>
  <si>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</si>
  <si>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</si>
  <si>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</si>
  <si>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</si>
  <si>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</si>
  <si>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</si>
  <si>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</si>
  <si>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</si>
  <si>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</si>
  <si>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</si>
  <si>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</si>
  <si>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</si>
  <si>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</si>
  <si>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</si>
  <si>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</si>
  <si>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</si>
  <si>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</si>
  <si>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</si>
  <si>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</si>
  <si>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</si>
  <si>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</si>
  <si>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</si>
  <si>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</si>
  <si>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</si>
  <si>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</si>
  <si>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</si>
  <si>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</si>
  <si>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</si>
  <si>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</si>
  <si>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</si>
  <si>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</si>
  <si>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</si>
  <si>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</si>
  <si>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</si>
  <si>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</si>
  <si>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</si>
  <si>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</si>
  <si>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</si>
  <si>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</si>
  <si>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</si>
  <si>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</si>
  <si>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</si>
  <si>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</si>
  <si>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</si>
  <si>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</si>
  <si>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</si>
  <si>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</si>
  <si>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</si>
  <si>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</si>
  <si>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</si>
  <si>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</si>
  <si>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</si>
  <si>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</si>
  <si>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</si>
  <si>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</si>
  <si>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</si>
  <si>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</si>
  <si>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</si>
  <si>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</si>
  <si>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</si>
  <si>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</si>
  <si>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</si>
  <si>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</si>
  <si>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</si>
  <si>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</si>
  <si>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</si>
  <si>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</si>
  <si>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</si>
  <si>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</si>
  <si>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</si>
  <si>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</si>
  <si>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</si>
  <si>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</si>
  <si>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</si>
  <si>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</si>
  <si>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</si>
  <si>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</si>
  <si>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</si>
  <si>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</si>
  <si>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</si>
  <si>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</si>
  <si>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</si>
  <si>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</si>
  <si>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</si>
  <si>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</si>
  <si>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</si>
  <si>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</si>
  <si>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</si>
  <si>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</si>
  <si>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</si>
  <si>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</si>
  <si>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</si>
  <si>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</si>
  <si>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</si>
  <si>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</si>
  <si>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</si>
  <si>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</si>
  <si>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</si>
  <si>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</si>
  <si>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</si>
  <si>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</si>
  <si>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</si>
  <si>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</si>
  <si>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</si>
  <si>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</si>
  <si>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</si>
  <si>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</si>
  <si>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</si>
  <si>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</si>
  <si>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</si>
  <si>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</si>
  <si>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</si>
  <si>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</si>
  <si>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</si>
  <si>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</si>
  <si>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</si>
  <si>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</si>
  <si>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</si>
  <si>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</si>
  <si>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</si>
  <si>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</si>
  <si>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</si>
  <si>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</si>
  <si>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</si>
  <si>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</si>
  <si>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</si>
  <si>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</si>
  <si>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</si>
  <si>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</si>
  <si>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</si>
  <si>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</si>
  <si>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</si>
  <si>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</si>
  <si>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</si>
  <si>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</si>
  <si>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</si>
  <si>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</si>
  <si>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</si>
  <si>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</si>
  <si>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</si>
  <si>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</si>
  <si>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</si>
  <si>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</si>
  <si>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</si>
  <si>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</si>
  <si>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</si>
  <si>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</si>
  <si>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</si>
  <si>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</si>
  <si>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</si>
  <si>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</si>
  <si>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</si>
  <si>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</si>
  <si>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</si>
  <si>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</si>
  <si>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</si>
  <si>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</si>
  <si>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</si>
  <si>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</si>
  <si>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</si>
  <si>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</si>
  <si>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</si>
  <si>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</si>
  <si>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</si>
  <si>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</si>
  <si>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</si>
  <si>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</si>
  <si>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</si>
  <si>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</si>
  <si>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</si>
  <si>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</si>
  <si>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</si>
  <si>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</si>
  <si>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</si>
  <si>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</si>
  <si>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</si>
  <si>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</si>
  <si>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</si>
  <si>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</si>
  <si>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</si>
  <si>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</si>
  <si>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</si>
  <si>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</si>
  <si>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</si>
  <si>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</si>
  <si>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</si>
  <si>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</si>
  <si>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</si>
  <si>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</si>
  <si>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</si>
  <si>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</si>
  <si>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</si>
  <si>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</si>
  <si>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</si>
  <si>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</si>
  <si>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</si>
  <si>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</si>
  <si>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</si>
  <si>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</si>
  <si>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</si>
  <si>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</si>
  <si>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</si>
  <si>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</si>
  <si>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</si>
  <si>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</si>
  <si>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</si>
  <si>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</si>
  <si>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</si>
  <si>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</si>
  <si>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</si>
  <si>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</si>
  <si>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</si>
  <si>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</si>
  <si>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</si>
  <si>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</si>
  <si>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</si>
  <si>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</si>
  <si>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</si>
  <si>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</si>
  <si>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</si>
  <si>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</si>
  <si>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</si>
  <si>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</si>
  <si>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</si>
  <si>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</si>
  <si>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</si>
  <si>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</si>
  <si>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</si>
  <si>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</si>
  <si>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</si>
  <si>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</si>
  <si>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</si>
  <si>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</si>
  <si>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</si>
  <si>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</si>
  <si>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</si>
  <si>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</si>
  <si>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</si>
  <si>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</si>
  <si>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</si>
  <si>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</si>
  <si>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</si>
  <si>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</si>
  <si>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</si>
  <si>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</si>
  <si>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</si>
  <si>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</si>
  <si>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</si>
  <si>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</si>
  <si>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</si>
  <si>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</si>
  <si>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</si>
  <si>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</si>
  <si>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</si>
  <si>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</si>
  <si>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</si>
  <si>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</si>
  <si>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</si>
  <si>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</si>
  <si>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</si>
  <si>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</si>
  <si>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</si>
  <si>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</si>
  <si>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</si>
  <si>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</si>
  <si>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</si>
  <si>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</si>
  <si>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</si>
  <si>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</si>
  <si>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</si>
  <si>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</si>
  <si>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</si>
  <si>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</si>
  <si>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</si>
  <si>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</si>
  <si>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</si>
  <si>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</si>
  <si>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</si>
  <si>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</si>
  <si>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</si>
  <si>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</si>
  <si>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</si>
  <si>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</si>
  <si>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</si>
  <si>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</si>
  <si>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</si>
  <si>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</si>
  <si>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</si>
  <si>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</si>
  <si>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</si>
  <si>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</si>
  <si>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</si>
  <si>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</si>
  <si>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</si>
  <si>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</si>
  <si>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</si>
  <si>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</si>
  <si>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</si>
  <si>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</si>
  <si>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</si>
  <si>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</si>
  <si>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</si>
  <si>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</si>
  <si>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</si>
  <si>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</si>
  <si>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</si>
  <si>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</si>
  <si>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</si>
  <si>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</si>
  <si>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</si>
  <si>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</si>
  <si>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</si>
  <si>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</si>
  <si>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</si>
  <si>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</si>
  <si>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</si>
  <si>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</si>
  <si>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</si>
  <si>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</si>
  <si>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</si>
  <si>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</si>
  <si>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</si>
  <si>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</si>
  <si>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</si>
  <si>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</si>
  <si>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</si>
  <si>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</si>
  <si>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</si>
  <si>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</si>
  <si>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</si>
  <si>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</si>
  <si>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</si>
  <si>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</si>
  <si>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</si>
  <si>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</si>
  <si>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</si>
  <si>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</si>
  <si>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</si>
  <si>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</si>
  <si>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</si>
  <si>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</si>
  <si>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</si>
  <si>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</si>
  <si>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</si>
  <si>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</si>
  <si>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</si>
  <si>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</si>
  <si>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</si>
  <si>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</si>
  <si>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</si>
  <si>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</si>
  <si>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</si>
  <si>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</si>
  <si>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</si>
  <si>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</si>
  <si>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</si>
  <si>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</si>
  <si>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</si>
  <si>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</si>
  <si>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</si>
  <si>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</si>
  <si>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</si>
  <si>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</si>
  <si>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</si>
  <si>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</si>
  <si>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</si>
  <si>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</si>
  <si>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</si>
  <si>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</si>
  <si>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</si>
  <si>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</si>
  <si>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</si>
  <si>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</si>
  <si>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</si>
  <si>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</si>
  <si>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</si>
  <si>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</si>
  <si>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</si>
  <si>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</si>
  <si>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</si>
  <si>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</si>
  <si>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</si>
  <si>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</si>
  <si>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</si>
  <si>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</si>
  <si>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</si>
  <si>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</si>
  <si>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</si>
  <si>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</si>
  <si>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</si>
  <si>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</si>
  <si>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</si>
  <si>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</si>
  <si>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</si>
  <si>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</si>
  <si>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</si>
  <si>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</si>
  <si>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</si>
  <si>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</si>
  <si>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</si>
  <si>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</si>
  <si>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</si>
  <si>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</si>
  <si>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</si>
  <si>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</si>
  <si>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</si>
  <si>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</si>
  <si>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</si>
  <si>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</si>
  <si>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</si>
  <si>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</si>
  <si>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</si>
  <si>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</si>
  <si>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</si>
  <si>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</si>
  <si>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</si>
  <si>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</si>
  <si>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</si>
  <si>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</si>
  <si>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</si>
  <si>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</si>
  <si>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</si>
  <si>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</si>
  <si>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</si>
  <si>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</si>
  <si>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</si>
  <si>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</si>
  <si>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</si>
  <si>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</si>
  <si>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</si>
  <si>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</si>
  <si>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</si>
  <si>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</si>
  <si>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</si>
  <si>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</si>
  <si>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</si>
  <si>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</si>
  <si>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</si>
  <si>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</si>
  <si>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</si>
  <si>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</si>
  <si>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</si>
  <si>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</si>
  <si>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</si>
  <si>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</si>
  <si>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</si>
  <si>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</si>
  <si>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</si>
  <si>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</si>
  <si>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</si>
  <si>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</si>
  <si>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</si>
  <si>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</si>
  <si>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</si>
  <si>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</si>
  <si>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</si>
  <si>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</si>
  <si>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</si>
  <si>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</si>
  <si>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</si>
  <si>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</si>
  <si>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</si>
  <si>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</si>
  <si>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</si>
  <si>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</si>
  <si>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</si>
  <si>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</si>
  <si>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</si>
  <si>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</si>
  <si>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</si>
  <si>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</si>
  <si>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</si>
  <si>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</si>
  <si>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</si>
  <si>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</si>
  <si>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</si>
  <si>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</si>
  <si>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</si>
  <si>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</si>
  <si>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</si>
  <si>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</si>
  <si>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</si>
  <si>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</si>
  <si>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</si>
  <si>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</si>
  <si>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</si>
  <si>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</si>
  <si>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</si>
  <si>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</si>
  <si>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</si>
  <si>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</si>
  <si>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</si>
  <si>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</si>
  <si>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</si>
  <si>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</si>
  <si>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</si>
  <si>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</si>
  <si>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</si>
  <si>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</si>
  <si>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</si>
  <si>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</si>
  <si>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</si>
  <si>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</si>
  <si>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</si>
  <si>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</si>
  <si>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</si>
  <si>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</si>
  <si>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</si>
  <si>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</si>
  <si>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</si>
  <si>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</si>
  <si>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</si>
  <si>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</si>
  <si>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</si>
  <si>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</si>
  <si>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</si>
  <si>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</si>
  <si>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</si>
  <si>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</si>
  <si>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</si>
  <si>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</si>
  <si>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</si>
  <si>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</si>
  <si>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</si>
  <si>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</si>
  <si>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</si>
  <si>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</si>
  <si>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</si>
  <si>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</si>
  <si>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</si>
  <si>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</si>
  <si>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</si>
  <si>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</si>
  <si>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</si>
  <si>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</si>
  <si>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</si>
  <si>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</si>
  <si>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</si>
  <si>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</si>
  <si>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</si>
  <si>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</si>
  <si>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</si>
  <si>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</si>
  <si>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</si>
  <si>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</si>
  <si>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</si>
  <si>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</si>
  <si>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</si>
  <si>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</si>
  <si>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</si>
  <si>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</si>
  <si>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</si>
  <si>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</si>
  <si>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</si>
  <si>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</si>
  <si>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</si>
  <si>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</si>
  <si>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</si>
  <si>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</si>
  <si>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</si>
  <si>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</si>
  <si>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</si>
  <si>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</si>
  <si>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</si>
  <si>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</si>
  <si>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</si>
  <si>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</si>
  <si>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</si>
  <si>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</si>
  <si>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</si>
  <si>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</si>
  <si>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</si>
  <si>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</si>
  <si>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</si>
  <si>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</si>
  <si>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</si>
  <si>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</si>
  <si>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</si>
  <si>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</si>
  <si>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</si>
  <si>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</si>
  <si>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</si>
  <si>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</si>
  <si>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</si>
  <si>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</si>
  <si>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</si>
  <si>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</si>
  <si>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</si>
  <si>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</si>
  <si>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</si>
  <si>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</si>
  <si>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</si>
  <si>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</si>
  <si>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</si>
  <si>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</si>
  <si>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</si>
  <si>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</si>
  <si>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</si>
  <si>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</si>
  <si>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</si>
  <si>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</si>
  <si>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</si>
  <si>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</si>
  <si>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</si>
  <si>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</si>
  <si>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</si>
  <si>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</si>
  <si>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</si>
  <si>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</si>
  <si>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</si>
  <si>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</si>
  <si>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</si>
  <si>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</si>
  <si>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</si>
  <si>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</si>
  <si>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</si>
  <si>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</si>
  <si>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</si>
  <si>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</si>
  <si>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</si>
  <si>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</si>
  <si>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</si>
  <si>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</si>
  <si>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</si>
  <si>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</si>
  <si>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</si>
  <si>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</si>
  <si>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</si>
  <si>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</si>
  <si>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</si>
  <si>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</si>
  <si>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</si>
  <si>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</si>
  <si>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</si>
  <si>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</si>
  <si>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</si>
  <si>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</si>
  <si>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</si>
  <si>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</si>
  <si>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</si>
  <si>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</si>
  <si>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</si>
  <si>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</si>
  <si>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</si>
  <si>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</si>
  <si>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</si>
  <si>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</si>
  <si>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</si>
  <si>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</si>
  <si>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</si>
  <si>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</si>
  <si>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</si>
  <si>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</si>
  <si>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</si>
  <si>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</si>
  <si>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</si>
  <si>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</si>
  <si>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</si>
  <si>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</si>
  <si>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</si>
  <si>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</si>
  <si>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</si>
  <si>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</si>
  <si>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</si>
  <si>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</si>
  <si>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</si>
  <si>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</si>
  <si>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</si>
  <si>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</si>
  <si>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</si>
  <si>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</si>
  <si>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</si>
  <si>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</si>
  <si>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</si>
  <si>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</si>
  <si>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</si>
  <si>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</si>
  <si>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</si>
  <si>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</si>
  <si>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</si>
  <si>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</si>
  <si>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</si>
  <si>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</si>
  <si>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</si>
  <si>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</si>
  <si>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</si>
  <si>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</si>
  <si>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</si>
  <si>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</si>
  <si>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</si>
  <si>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</si>
  <si>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</si>
  <si>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</si>
  <si>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</si>
  <si>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</si>
  <si>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</si>
  <si>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</si>
  <si>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</si>
  <si>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</si>
  <si>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</si>
  <si>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</si>
  <si>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</si>
  <si>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</si>
  <si>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</si>
  <si>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</si>
  <si>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</si>
  <si>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</si>
  <si>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</si>
  <si>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</si>
  <si>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</si>
  <si>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</si>
  <si>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</si>
  <si>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</si>
  <si>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</si>
  <si>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</si>
  <si>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</si>
  <si>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</si>
  <si>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</si>
  <si>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</si>
  <si>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</si>
  <si>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</si>
  <si>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</si>
  <si>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</si>
  <si>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</si>
  <si>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</si>
  <si>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</si>
  <si>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</si>
  <si>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</si>
  <si>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</si>
  <si>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</si>
  <si>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</si>
  <si>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</si>
  <si>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</si>
  <si>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</si>
  <si>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</si>
  <si>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</si>
  <si>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</si>
  <si>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</si>
  <si>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</si>
  <si>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</si>
  <si>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</si>
  <si>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</si>
  <si>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</si>
  <si>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</si>
  <si>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</si>
  <si>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</si>
  <si>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</si>
  <si>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</si>
  <si>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</si>
  <si>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</si>
  <si>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</si>
  <si>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</si>
  <si>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</si>
  <si>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</si>
  <si>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</si>
  <si>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</si>
  <si>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</si>
  <si>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</si>
  <si>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</si>
  <si>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</si>
  <si>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</si>
  <si>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</si>
  <si>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</si>
  <si>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</si>
  <si>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</si>
  <si>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</si>
  <si>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</si>
  <si>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</si>
  <si>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</si>
  <si>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</si>
  <si>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</si>
  <si>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</si>
  <si>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</si>
  <si>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</si>
  <si>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</si>
  <si>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</si>
  <si>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</si>
  <si>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</si>
  <si>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</si>
  <si>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</si>
  <si>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</si>
  <si>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</si>
  <si>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</si>
  <si>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</si>
  <si>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</si>
  <si>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</si>
  <si>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</si>
  <si>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</si>
  <si>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</si>
  <si>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</si>
  <si>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</si>
  <si>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</si>
  <si>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</si>
  <si>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</si>
  <si>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</si>
  <si>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</si>
  <si>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</si>
  <si>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</si>
  <si>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</si>
  <si>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</si>
  <si>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</si>
  <si>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</si>
  <si>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</si>
  <si>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</si>
  <si>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</si>
  <si>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</si>
  <si>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</si>
  <si>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</si>
  <si>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</si>
  <si>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</si>
  <si>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</si>
  <si>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</si>
  <si>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</si>
  <si>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</si>
  <si>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</si>
  <si>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</si>
  <si>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</si>
  <si>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</si>
  <si>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</si>
  <si>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</si>
  <si>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</si>
  <si>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</si>
  <si>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</si>
  <si>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</si>
  <si>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</si>
  <si>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</si>
  <si>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</si>
  <si>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</si>
  <si>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</si>
  <si>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</si>
  <si>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</si>
  <si>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</si>
  <si>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</si>
  <si>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</si>
  <si>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</si>
  <si>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</si>
  <si>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</si>
  <si>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</si>
  <si>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</si>
  <si>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</si>
  <si>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</si>
  <si>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</si>
  <si>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</si>
  <si>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</si>
  <si>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</si>
  <si>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</si>
  <si>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</si>
  <si>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</si>
  <si>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Mont Vernon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</si>
</sst>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51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367</v>
      </c>
      <c r="C2" s="21">
        <v>367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346044.92</v>
      </c>
      <c r="G9" s="18"/>
      <c r="H9" s="18"/>
      <c r="I9" s="18"/>
      <c r="J9" s="67">
        <f>SUM(I439)</f>
        <v>12420.61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1716.34</v>
      </c>
      <c r="G12" s="18">
        <v>18149.150000000001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34161.69</v>
      </c>
      <c r="G13" s="18">
        <v>2429.2600000000002</v>
      </c>
      <c r="H13" s="18">
        <v>20365.490000000002</v>
      </c>
      <c r="I13" s="18"/>
      <c r="J13" s="67">
        <f>SUM(I442)</f>
        <v>212553.48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67.150000000000006</v>
      </c>
      <c r="G14" s="18">
        <v>0</v>
      </c>
      <c r="H14" s="18">
        <v>0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381990.10000000003</v>
      </c>
      <c r="G19" s="41">
        <f>SUM(G9:G18)</f>
        <v>20578.410000000003</v>
      </c>
      <c r="H19" s="41">
        <f>SUM(H9:H18)</f>
        <v>20365.490000000002</v>
      </c>
      <c r="I19" s="41">
        <f>SUM(I9:I18)</f>
        <v>0</v>
      </c>
      <c r="J19" s="41">
        <f>SUM(J9:J18)</f>
        <v>224974.09000000003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19865.490000000002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153481.15</v>
      </c>
      <c r="G23" s="18">
        <v>2446.1999999999998</v>
      </c>
      <c r="H23" s="18">
        <v>0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1631.76+14684.34</f>
        <v>16316.1</v>
      </c>
      <c r="G24" s="18">
        <v>905.92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5799.5</v>
      </c>
      <c r="G28" s="18">
        <v>0</v>
      </c>
      <c r="H28" s="18">
        <v>0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948.84</v>
      </c>
      <c r="G29" s="18">
        <v>0</v>
      </c>
      <c r="H29" s="18">
        <v>0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627.41</v>
      </c>
      <c r="G30" s="18">
        <v>3251.52</v>
      </c>
      <c r="H30" s="18">
        <v>500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/>
      <c r="J31" s="67">
        <f>SUM(I451)</f>
        <v>12420.61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177173</v>
      </c>
      <c r="G32" s="41">
        <f>SUM(G22:G31)</f>
        <v>6603.6399999999994</v>
      </c>
      <c r="H32" s="41">
        <f>SUM(H22:H31)</f>
        <v>20365.490000000002</v>
      </c>
      <c r="I32" s="41">
        <f>SUM(I22:I31)</f>
        <v>0</v>
      </c>
      <c r="J32" s="41">
        <f>SUM(J22:J31)</f>
        <v>12420.61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f>16120.73-2145.96</f>
        <v>13974.77</v>
      </c>
      <c r="H48" s="18">
        <v>0</v>
      </c>
      <c r="I48" s="18"/>
      <c r="J48" s="13">
        <f>SUM(I459)</f>
        <v>212553.47999999998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332984.39-14684.34-163482.95</f>
        <v>154817.09999999998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204817.09999999998</v>
      </c>
      <c r="G51" s="41">
        <f>SUM(G35:G50)</f>
        <v>13974.77</v>
      </c>
      <c r="H51" s="41">
        <f>SUM(H35:H50)</f>
        <v>0</v>
      </c>
      <c r="I51" s="41">
        <f>SUM(I35:I50)</f>
        <v>0</v>
      </c>
      <c r="J51" s="41">
        <f>SUM(J35:J50)</f>
        <v>212553.47999999998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381990.1</v>
      </c>
      <c r="G52" s="41">
        <f>G51+G32</f>
        <v>20578.41</v>
      </c>
      <c r="H52" s="41">
        <f>H51+H32</f>
        <v>20365.490000000002</v>
      </c>
      <c r="I52" s="41">
        <f>I51+I32</f>
        <v>0</v>
      </c>
      <c r="J52" s="41">
        <f>J51+J32</f>
        <v>224974.08999999997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3050503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3050503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32239.5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32239.5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462.6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45726.7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70</v>
      </c>
      <c r="G102" s="18"/>
      <c r="H102" s="18">
        <v>0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>
        <v>0</v>
      </c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1065.3399999999999</v>
      </c>
      <c r="G109" s="18">
        <v>0</v>
      </c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199.59</v>
      </c>
      <c r="G110" s="18">
        <v>0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1797.53</v>
      </c>
      <c r="G111" s="41">
        <f>SUM(G96:G110)</f>
        <v>45726.7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3084540.03</v>
      </c>
      <c r="G112" s="41">
        <f>G60+G111</f>
        <v>45726.7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728691.46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344497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6256.99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1079445.45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27575.57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783.62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27575.57</v>
      </c>
      <c r="G136" s="41">
        <f>SUM(G123:G135)</f>
        <v>783.62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1107021.02</v>
      </c>
      <c r="G140" s="41">
        <f>G121+SUM(G136:G137)</f>
        <v>783.62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1807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14344.39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7129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10928.99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62140.2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6147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6147</v>
      </c>
      <c r="G162" s="41">
        <f>SUM(G150:G161)</f>
        <v>10928.99</v>
      </c>
      <c r="H162" s="41">
        <f>SUM(H150:H161)</f>
        <v>85420.59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6147</v>
      </c>
      <c r="G169" s="41">
        <f>G147+G162+SUM(G163:G168)</f>
        <v>10928.99</v>
      </c>
      <c r="H169" s="41">
        <f>H147+H162+SUM(H163:H168)</f>
        <v>85420.59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/>
      <c r="I179" s="18"/>
      <c r="J179" s="18">
        <v>81549.17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81549.17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31688.53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31688.53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31688.53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81549.17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4229396.58</v>
      </c>
      <c r="G193" s="47">
        <f>G112+G140+G169+G192</f>
        <v>57439.31</v>
      </c>
      <c r="H193" s="47">
        <f>H112+H140+H169+H192</f>
        <v>85420.59</v>
      </c>
      <c r="I193" s="47">
        <f>I112+I140+I169+I192</f>
        <v>0</v>
      </c>
      <c r="J193" s="47">
        <f>J112+J140+J192</f>
        <v>81549.17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907284.8</v>
      </c>
      <c r="G197" s="18">
        <v>383340.23</v>
      </c>
      <c r="H197" s="18">
        <v>9182.2099999999991</v>
      </c>
      <c r="I197" s="18">
        <v>45199.519999999997</v>
      </c>
      <c r="J197" s="18">
        <v>554.98</v>
      </c>
      <c r="K197" s="18">
        <v>0</v>
      </c>
      <c r="L197" s="19">
        <f>SUM(F197:K197)</f>
        <v>1345561.74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177031.28</v>
      </c>
      <c r="G198" s="18">
        <v>83096.41</v>
      </c>
      <c r="H198" s="18">
        <f>221696.92-56.71</f>
        <v>221640.21000000002</v>
      </c>
      <c r="I198" s="18">
        <v>2558.3200000000002</v>
      </c>
      <c r="J198" s="18">
        <v>189.99</v>
      </c>
      <c r="K198" s="18">
        <v>0</v>
      </c>
      <c r="L198" s="19">
        <f>SUM(F198:K198)</f>
        <v>484516.21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5168</v>
      </c>
      <c r="G200" s="18">
        <v>931.43</v>
      </c>
      <c r="H200" s="18">
        <v>0</v>
      </c>
      <c r="I200" s="18">
        <v>0</v>
      </c>
      <c r="J200" s="18">
        <v>0</v>
      </c>
      <c r="K200" s="18">
        <v>278.5</v>
      </c>
      <c r="L200" s="19">
        <f>SUM(F200:K200)</f>
        <v>6377.93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175270.8</v>
      </c>
      <c r="G202" s="18">
        <v>86573.14</v>
      </c>
      <c r="H202" s="18">
        <f>124299.58+1435.5</f>
        <v>125735.08</v>
      </c>
      <c r="I202" s="18">
        <v>8636.59</v>
      </c>
      <c r="J202" s="18">
        <v>0</v>
      </c>
      <c r="K202" s="18">
        <v>179</v>
      </c>
      <c r="L202" s="19">
        <f t="shared" ref="L202:L208" si="0">SUM(F202:K202)</f>
        <v>396394.61000000004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62006.55</v>
      </c>
      <c r="G203" s="18">
        <v>41258.239999999998</v>
      </c>
      <c r="H203" s="18">
        <v>0</v>
      </c>
      <c r="I203" s="18">
        <v>8342.01</v>
      </c>
      <c r="J203" s="18">
        <v>0</v>
      </c>
      <c r="K203" s="18">
        <v>0</v>
      </c>
      <c r="L203" s="19">
        <f t="shared" si="0"/>
        <v>111606.8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4546.75</v>
      </c>
      <c r="G204" s="18">
        <v>377.85</v>
      </c>
      <c r="H204" s="18">
        <v>212329.27</v>
      </c>
      <c r="I204" s="18">
        <v>60</v>
      </c>
      <c r="J204" s="18">
        <v>0</v>
      </c>
      <c r="K204" s="18">
        <v>3005.61</v>
      </c>
      <c r="L204" s="19">
        <f t="shared" si="0"/>
        <v>220319.47999999998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136687.29</v>
      </c>
      <c r="G205" s="18">
        <v>81967.320000000007</v>
      </c>
      <c r="H205" s="18">
        <v>5017.43</v>
      </c>
      <c r="I205" s="18">
        <v>3861.32</v>
      </c>
      <c r="J205" s="18">
        <v>0</v>
      </c>
      <c r="K205" s="18">
        <v>89</v>
      </c>
      <c r="L205" s="19">
        <f t="shared" si="0"/>
        <v>227622.36000000002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89002.74</v>
      </c>
      <c r="G207" s="18">
        <v>29584.71</v>
      </c>
      <c r="H207" s="18">
        <v>63885.67</v>
      </c>
      <c r="I207" s="18">
        <v>75696.19</v>
      </c>
      <c r="J207" s="18">
        <v>0</v>
      </c>
      <c r="K207" s="18">
        <v>0</v>
      </c>
      <c r="L207" s="19">
        <f t="shared" si="0"/>
        <v>258169.31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144504.92000000001</v>
      </c>
      <c r="I208" s="18">
        <v>0</v>
      </c>
      <c r="J208" s="18">
        <v>0</v>
      </c>
      <c r="K208" s="18">
        <v>0</v>
      </c>
      <c r="L208" s="19">
        <f t="shared" si="0"/>
        <v>144504.92000000001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25365.58</v>
      </c>
      <c r="G209" s="18">
        <v>2206.2800000000002</v>
      </c>
      <c r="H209" s="18">
        <v>11603.65</v>
      </c>
      <c r="I209" s="18">
        <v>6597.37</v>
      </c>
      <c r="J209" s="18">
        <v>2899.44</v>
      </c>
      <c r="K209" s="18">
        <v>0</v>
      </c>
      <c r="L209" s="19">
        <f>SUM(F209:K209)</f>
        <v>48672.320000000007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1582363.7900000003</v>
      </c>
      <c r="G211" s="41">
        <f t="shared" si="1"/>
        <v>709335.60999999987</v>
      </c>
      <c r="H211" s="41">
        <f t="shared" si="1"/>
        <v>793898.44000000018</v>
      </c>
      <c r="I211" s="41">
        <f t="shared" si="1"/>
        <v>150951.32</v>
      </c>
      <c r="J211" s="41">
        <f t="shared" si="1"/>
        <v>3644.41</v>
      </c>
      <c r="K211" s="41">
        <f t="shared" si="1"/>
        <v>3552.11</v>
      </c>
      <c r="L211" s="41">
        <f t="shared" si="1"/>
        <v>3243745.6799999992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1031578.84</v>
      </c>
      <c r="I215" s="18"/>
      <c r="J215" s="18"/>
      <c r="K215" s="18"/>
      <c r="L215" s="19">
        <f>SUM(F215:K215)</f>
        <v>1031578.84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0</v>
      </c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>
        <v>168.53</v>
      </c>
      <c r="I222" s="18"/>
      <c r="J222" s="18"/>
      <c r="K222" s="18"/>
      <c r="L222" s="19">
        <f t="shared" si="2"/>
        <v>168.53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35837.31</v>
      </c>
      <c r="I226" s="18"/>
      <c r="J226" s="18"/>
      <c r="K226" s="18"/>
      <c r="L226" s="19">
        <f t="shared" si="2"/>
        <v>35837.31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1067584.68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1067584.68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1582363.7900000003</v>
      </c>
      <c r="G257" s="41">
        <f t="shared" si="8"/>
        <v>709335.60999999987</v>
      </c>
      <c r="H257" s="41">
        <f t="shared" si="8"/>
        <v>1861483.12</v>
      </c>
      <c r="I257" s="41">
        <f t="shared" si="8"/>
        <v>150951.32</v>
      </c>
      <c r="J257" s="41">
        <f t="shared" si="8"/>
        <v>3644.41</v>
      </c>
      <c r="K257" s="41">
        <f t="shared" si="8"/>
        <v>3552.11</v>
      </c>
      <c r="L257" s="41">
        <f t="shared" si="8"/>
        <v>4311330.3599999994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81549.17</v>
      </c>
      <c r="L266" s="19">
        <f t="shared" si="9"/>
        <v>81549.17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81549.17</v>
      </c>
      <c r="L270" s="41">
        <f t="shared" si="9"/>
        <v>81549.17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1582363.7900000003</v>
      </c>
      <c r="G271" s="42">
        <f t="shared" si="11"/>
        <v>709335.60999999987</v>
      </c>
      <c r="H271" s="42">
        <f t="shared" si="11"/>
        <v>1861483.12</v>
      </c>
      <c r="I271" s="42">
        <f t="shared" si="11"/>
        <v>150951.32</v>
      </c>
      <c r="J271" s="42">
        <f t="shared" si="11"/>
        <v>3644.41</v>
      </c>
      <c r="K271" s="42">
        <f t="shared" si="11"/>
        <v>85101.28</v>
      </c>
      <c r="L271" s="42">
        <f t="shared" si="11"/>
        <v>4392879.5299999993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0</v>
      </c>
      <c r="G276" s="18">
        <v>0</v>
      </c>
      <c r="H276" s="18">
        <v>1807</v>
      </c>
      <c r="I276" s="18">
        <v>0</v>
      </c>
      <c r="J276" s="18">
        <v>0</v>
      </c>
      <c r="K276" s="18">
        <v>0</v>
      </c>
      <c r="L276" s="19">
        <f>SUM(F276:K276)</f>
        <v>1807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35629</v>
      </c>
      <c r="G277" s="18">
        <v>8756.51</v>
      </c>
      <c r="H277" s="18">
        <v>250</v>
      </c>
      <c r="I277" s="18">
        <v>0</v>
      </c>
      <c r="J277" s="18">
        <v>0</v>
      </c>
      <c r="K277" s="18">
        <v>0</v>
      </c>
      <c r="L277" s="19">
        <f>SUM(F277:K277)</f>
        <v>44635.51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>
        <v>0</v>
      </c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10151.84</v>
      </c>
      <c r="G279" s="18">
        <v>2412.8200000000002</v>
      </c>
      <c r="H279" s="18">
        <v>0</v>
      </c>
      <c r="I279" s="18">
        <v>842.15</v>
      </c>
      <c r="J279" s="18">
        <v>0</v>
      </c>
      <c r="K279" s="18">
        <v>0</v>
      </c>
      <c r="L279" s="19">
        <f>SUM(F279:K279)</f>
        <v>13406.81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17504.689999999999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17504.689999999999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2937.5</v>
      </c>
      <c r="G282" s="18">
        <v>721.64</v>
      </c>
      <c r="H282" s="18">
        <v>3657.44</v>
      </c>
      <c r="I282" s="18">
        <v>0</v>
      </c>
      <c r="J282" s="18">
        <v>0</v>
      </c>
      <c r="K282" s="18">
        <v>0</v>
      </c>
      <c r="L282" s="19">
        <f t="shared" si="12"/>
        <v>7316.58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750</v>
      </c>
      <c r="I284" s="18">
        <v>0</v>
      </c>
      <c r="J284" s="18">
        <v>0</v>
      </c>
      <c r="K284" s="18">
        <v>0</v>
      </c>
      <c r="L284" s="19">
        <f t="shared" si="12"/>
        <v>750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48718.34</v>
      </c>
      <c r="G290" s="42">
        <f t="shared" si="13"/>
        <v>11890.97</v>
      </c>
      <c r="H290" s="42">
        <f t="shared" si="13"/>
        <v>23969.129999999997</v>
      </c>
      <c r="I290" s="42">
        <f t="shared" si="13"/>
        <v>842.15</v>
      </c>
      <c r="J290" s="42">
        <f t="shared" si="13"/>
        <v>0</v>
      </c>
      <c r="K290" s="42">
        <f t="shared" si="13"/>
        <v>0</v>
      </c>
      <c r="L290" s="41">
        <f t="shared" si="13"/>
        <v>85420.59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48718.34</v>
      </c>
      <c r="G338" s="41">
        <f t="shared" si="20"/>
        <v>11890.97</v>
      </c>
      <c r="H338" s="41">
        <f t="shared" si="20"/>
        <v>23969.129999999997</v>
      </c>
      <c r="I338" s="41">
        <f t="shared" si="20"/>
        <v>842.15</v>
      </c>
      <c r="J338" s="41">
        <f t="shared" si="20"/>
        <v>0</v>
      </c>
      <c r="K338" s="41">
        <f t="shared" si="20"/>
        <v>0</v>
      </c>
      <c r="L338" s="41">
        <f t="shared" si="20"/>
        <v>85420.59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48718.34</v>
      </c>
      <c r="G352" s="41">
        <f>G338</f>
        <v>11890.97</v>
      </c>
      <c r="H352" s="41">
        <f>H338</f>
        <v>23969.129999999997</v>
      </c>
      <c r="I352" s="41">
        <f>I338</f>
        <v>842.15</v>
      </c>
      <c r="J352" s="41">
        <f>J338</f>
        <v>0</v>
      </c>
      <c r="K352" s="47">
        <f>K338+K351</f>
        <v>0</v>
      </c>
      <c r="L352" s="41">
        <f>L338+L351</f>
        <v>85420.59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29551.8</v>
      </c>
      <c r="G358" s="18">
        <v>3427.84</v>
      </c>
      <c r="H358" s="18">
        <v>2013.47</v>
      </c>
      <c r="I358" s="18">
        <v>24442.41</v>
      </c>
      <c r="J358" s="18">
        <v>0</v>
      </c>
      <c r="K358" s="18">
        <v>149.75</v>
      </c>
      <c r="L358" s="13">
        <f>SUM(F358:K358)</f>
        <v>59585.270000000004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29551.8</v>
      </c>
      <c r="G362" s="47">
        <f t="shared" si="22"/>
        <v>3427.84</v>
      </c>
      <c r="H362" s="47">
        <f t="shared" si="22"/>
        <v>2013.47</v>
      </c>
      <c r="I362" s="47">
        <f t="shared" si="22"/>
        <v>24442.41</v>
      </c>
      <c r="J362" s="47">
        <f t="shared" si="22"/>
        <v>0</v>
      </c>
      <c r="K362" s="47">
        <f t="shared" si="22"/>
        <v>149.75</v>
      </c>
      <c r="L362" s="47">
        <f t="shared" si="22"/>
        <v>59585.270000000004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19958.07+596.25</f>
        <v>20554.32</v>
      </c>
      <c r="G367" s="18"/>
      <c r="H367" s="18"/>
      <c r="I367" s="56">
        <f>SUM(F367:H367)</f>
        <v>20554.32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1651.32+225.69+1101.66+108.5+800.92</f>
        <v>3888.09</v>
      </c>
      <c r="G368" s="63"/>
      <c r="H368" s="63"/>
      <c r="I368" s="56">
        <f>SUM(F368:H368)</f>
        <v>3888.09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24442.41</v>
      </c>
      <c r="G369" s="47">
        <f>SUM(G367:G368)</f>
        <v>0</v>
      </c>
      <c r="H369" s="47">
        <f>SUM(H367:H368)</f>
        <v>0</v>
      </c>
      <c r="I369" s="47">
        <f>SUM(I367:I368)</f>
        <v>24442.41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50000</v>
      </c>
      <c r="H396" s="18"/>
      <c r="I396" s="18"/>
      <c r="J396" s="24" t="s">
        <v>286</v>
      </c>
      <c r="K396" s="24" t="s">
        <v>286</v>
      </c>
      <c r="L396" s="56">
        <f t="shared" si="26"/>
        <v>50000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31549.17</v>
      </c>
      <c r="H398" s="18"/>
      <c r="I398" s="18"/>
      <c r="J398" s="24" t="s">
        <v>286</v>
      </c>
      <c r="K398" s="24" t="s">
        <v>286</v>
      </c>
      <c r="L398" s="56">
        <f t="shared" si="26"/>
        <v>31549.17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81549.17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81549.17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81549.17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81549.17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31688.53</v>
      </c>
      <c r="L426" s="56">
        <f t="shared" si="29"/>
        <v>31688.53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31688.53</v>
      </c>
      <c r="L427" s="47">
        <f t="shared" si="30"/>
        <v>31688.53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31688.53</v>
      </c>
      <c r="L434" s="47">
        <f t="shared" si="32"/>
        <v>31688.53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>
        <v>12420.61</v>
      </c>
      <c r="I439" s="56">
        <f t="shared" ref="I439:I445" si="33">SUM(F439:H439)</f>
        <v>12420.61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212553.48</v>
      </c>
      <c r="H442" s="18"/>
      <c r="I442" s="56">
        <f t="shared" si="33"/>
        <v>212553.48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212553.48</v>
      </c>
      <c r="H446" s="13">
        <f>SUM(H439:H445)</f>
        <v>12420.61</v>
      </c>
      <c r="I446" s="13">
        <f>SUM(I439:I445)</f>
        <v>224974.09000000003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>
        <v>12420.61</v>
      </c>
      <c r="I451" s="56">
        <f>SUM(F451:H451)</f>
        <v>12420.61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12420.61</v>
      </c>
      <c r="I452" s="72">
        <f>SUM(I448:I451)</f>
        <v>12420.61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f>162692.84+49860.64</f>
        <v>212553.47999999998</v>
      </c>
      <c r="H459" s="18"/>
      <c r="I459" s="56">
        <f t="shared" si="34"/>
        <v>212553.47999999998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212553.47999999998</v>
      </c>
      <c r="H460" s="83">
        <f>SUM(H454:H459)</f>
        <v>0</v>
      </c>
      <c r="I460" s="83">
        <f>SUM(I454:I459)</f>
        <v>212553.47999999998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212553.47999999998</v>
      </c>
      <c r="H461" s="42">
        <f>H452+H460</f>
        <v>12420.61</v>
      </c>
      <c r="I461" s="42">
        <f>I452+I460</f>
        <v>224974.08999999997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382984.39-14684.34</f>
        <v>368300.05</v>
      </c>
      <c r="G465" s="18">
        <v>16120.73</v>
      </c>
      <c r="H465" s="18">
        <v>0</v>
      </c>
      <c r="I465" s="18">
        <v>0</v>
      </c>
      <c r="J465" s="18">
        <f>131004.31+31688.53</f>
        <v>162692.84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4229396.58</v>
      </c>
      <c r="G468" s="18">
        <f t="shared" ref="G468:J468" si="35">G193</f>
        <v>57439.31</v>
      </c>
      <c r="H468" s="18">
        <f t="shared" si="35"/>
        <v>85420.59</v>
      </c>
      <c r="I468" s="18">
        <f t="shared" si="35"/>
        <v>0</v>
      </c>
      <c r="J468" s="18">
        <f t="shared" si="35"/>
        <v>81549.17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4229396.58</v>
      </c>
      <c r="G470" s="53">
        <f>SUM(G468:G469)</f>
        <v>57439.31</v>
      </c>
      <c r="H470" s="53">
        <f>SUM(H468:H469)</f>
        <v>85420.59</v>
      </c>
      <c r="I470" s="53">
        <f>SUM(I468:I469)</f>
        <v>0</v>
      </c>
      <c r="J470" s="53">
        <f>SUM(J468:J469)</f>
        <v>81549.17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4392879.5299999993</v>
      </c>
      <c r="G472" s="18">
        <f>L362</f>
        <v>59585.270000000004</v>
      </c>
      <c r="H472" s="18">
        <f>L352</f>
        <v>85420.59</v>
      </c>
      <c r="I472" s="18">
        <v>0</v>
      </c>
      <c r="J472" s="18">
        <f>L434</f>
        <v>31688.53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4392879.5299999993</v>
      </c>
      <c r="G474" s="53">
        <f>SUM(G472:G473)</f>
        <v>59585.270000000004</v>
      </c>
      <c r="H474" s="53">
        <f>SUM(H472:H473)</f>
        <v>85420.59</v>
      </c>
      <c r="I474" s="53">
        <f>SUM(I472:I473)</f>
        <v>0</v>
      </c>
      <c r="J474" s="53">
        <f>SUM(J472:J473)</f>
        <v>31688.53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204817.10000000056</v>
      </c>
      <c r="G476" s="53">
        <f>(G465+G470)- G474</f>
        <v>13974.76999999999</v>
      </c>
      <c r="H476" s="53">
        <f>(H465+H470)- H474</f>
        <v>0</v>
      </c>
      <c r="I476" s="53">
        <f>(I465+I470)- I474</f>
        <v>0</v>
      </c>
      <c r="J476" s="53">
        <f>(J465+J470)- J474</f>
        <v>212553.48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212660.28</v>
      </c>
      <c r="G521" s="18">
        <v>91852.92</v>
      </c>
      <c r="H521" s="18">
        <v>221890.21</v>
      </c>
      <c r="I521" s="18">
        <v>2558.3200000000002</v>
      </c>
      <c r="J521" s="18">
        <v>189.99</v>
      </c>
      <c r="K521" s="18">
        <v>0</v>
      </c>
      <c r="L521" s="88">
        <f>SUM(F521:K521)</f>
        <v>529151.72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212660.28</v>
      </c>
      <c r="G524" s="108">
        <f t="shared" ref="G524:L524" si="37">SUM(G521:G523)</f>
        <v>91852.92</v>
      </c>
      <c r="H524" s="108">
        <f t="shared" si="37"/>
        <v>221890.21</v>
      </c>
      <c r="I524" s="108">
        <f t="shared" si="37"/>
        <v>2558.3200000000002</v>
      </c>
      <c r="J524" s="108">
        <f t="shared" si="37"/>
        <v>189.99</v>
      </c>
      <c r="K524" s="108">
        <f t="shared" si="37"/>
        <v>0</v>
      </c>
      <c r="L524" s="89">
        <f t="shared" si="37"/>
        <v>529151.72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60126.5</v>
      </c>
      <c r="G526" s="18">
        <v>35747.85</v>
      </c>
      <c r="H526" s="18">
        <f>141694.27+1435.5</f>
        <v>143129.76999999999</v>
      </c>
      <c r="I526" s="18">
        <v>2696.52</v>
      </c>
      <c r="J526" s="18">
        <v>0</v>
      </c>
      <c r="K526" s="18">
        <v>0</v>
      </c>
      <c r="L526" s="88">
        <f>SUM(F526:K526)</f>
        <v>241700.63999999998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60126.5</v>
      </c>
      <c r="G529" s="89">
        <f t="shared" ref="G529:L529" si="38">SUM(G526:G528)</f>
        <v>35747.85</v>
      </c>
      <c r="H529" s="89">
        <f t="shared" si="38"/>
        <v>143129.76999999999</v>
      </c>
      <c r="I529" s="89">
        <f t="shared" si="38"/>
        <v>2696.52</v>
      </c>
      <c r="J529" s="89">
        <f t="shared" si="38"/>
        <v>0</v>
      </c>
      <c r="K529" s="89">
        <f t="shared" si="38"/>
        <v>0</v>
      </c>
      <c r="L529" s="89">
        <f t="shared" si="38"/>
        <v>241700.63999999998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427.69</v>
      </c>
      <c r="I531" s="18"/>
      <c r="J531" s="18"/>
      <c r="K531" s="18"/>
      <c r="L531" s="88">
        <f>SUM(F531:K531)</f>
        <v>427.69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427.69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427.69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20600.580000000002</v>
      </c>
      <c r="I536" s="18"/>
      <c r="J536" s="18"/>
      <c r="K536" s="18"/>
      <c r="L536" s="88">
        <f>SUM(F536:K536)</f>
        <v>20600.580000000002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20600.580000000002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20600.580000000002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57291.34</v>
      </c>
      <c r="I541" s="18"/>
      <c r="J541" s="18"/>
      <c r="K541" s="18"/>
      <c r="L541" s="88">
        <f>SUM(F541:K541)</f>
        <v>57291.34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57291.34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57291.34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272786.78000000003</v>
      </c>
      <c r="G545" s="89">
        <f t="shared" ref="G545:L545" si="42">G524+G529+G534+G539+G544</f>
        <v>127600.76999999999</v>
      </c>
      <c r="H545" s="89">
        <f t="shared" si="42"/>
        <v>443339.58999999997</v>
      </c>
      <c r="I545" s="89">
        <f t="shared" si="42"/>
        <v>5254.84</v>
      </c>
      <c r="J545" s="89">
        <f t="shared" si="42"/>
        <v>189.99</v>
      </c>
      <c r="K545" s="89">
        <f t="shared" si="42"/>
        <v>0</v>
      </c>
      <c r="L545" s="89">
        <f t="shared" si="42"/>
        <v>849171.96999999986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529151.72</v>
      </c>
      <c r="G549" s="87">
        <f>L526</f>
        <v>241700.63999999998</v>
      </c>
      <c r="H549" s="87">
        <f>L531</f>
        <v>427.69</v>
      </c>
      <c r="I549" s="87">
        <f>L536</f>
        <v>20600.580000000002</v>
      </c>
      <c r="J549" s="87">
        <f>L541</f>
        <v>57291.34</v>
      </c>
      <c r="K549" s="87">
        <f>SUM(F549:J549)</f>
        <v>849171.96999999986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529151.72</v>
      </c>
      <c r="G552" s="89">
        <f t="shared" si="43"/>
        <v>241700.63999999998</v>
      </c>
      <c r="H552" s="89">
        <f t="shared" si="43"/>
        <v>427.69</v>
      </c>
      <c r="I552" s="89">
        <f t="shared" si="43"/>
        <v>20600.580000000002</v>
      </c>
      <c r="J552" s="89">
        <f t="shared" si="43"/>
        <v>57291.34</v>
      </c>
      <c r="K552" s="89">
        <f t="shared" si="43"/>
        <v>849171.96999999986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1031578.84</v>
      </c>
      <c r="H575" s="18"/>
      <c r="I575" s="87">
        <f>SUM(F575:H575)</f>
        <v>1031578.84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f>17353.72</f>
        <v>17353.72</v>
      </c>
      <c r="G579" s="18"/>
      <c r="H579" s="18"/>
      <c r="I579" s="87">
        <f t="shared" si="48"/>
        <v>17353.72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105812.59</v>
      </c>
      <c r="G582" s="18"/>
      <c r="H582" s="18"/>
      <c r="I582" s="87">
        <f t="shared" si="48"/>
        <v>105812.59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39270.720000000001</v>
      </c>
      <c r="G583" s="18"/>
      <c r="H583" s="18"/>
      <c r="I583" s="87">
        <f t="shared" si="48"/>
        <v>39270.720000000001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84143.73</v>
      </c>
      <c r="I591" s="18">
        <v>35837.31</v>
      </c>
      <c r="J591" s="18"/>
      <c r="K591" s="104">
        <f t="shared" ref="K591:K597" si="49">SUM(H591:J591)</f>
        <v>119981.04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57291.34</v>
      </c>
      <c r="I592" s="18">
        <v>0</v>
      </c>
      <c r="J592" s="18"/>
      <c r="K592" s="104">
        <f t="shared" si="49"/>
        <v>57291.34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3069.85</v>
      </c>
      <c r="I595" s="18"/>
      <c r="J595" s="18"/>
      <c r="K595" s="104">
        <f t="shared" si="49"/>
        <v>3069.85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144504.92000000001</v>
      </c>
      <c r="I598" s="108">
        <f>SUM(I591:I597)</f>
        <v>35837.31</v>
      </c>
      <c r="J598" s="108">
        <f>SUM(J591:J597)</f>
        <v>0</v>
      </c>
      <c r="K598" s="108">
        <f>SUM(K591:K597)</f>
        <v>180342.23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3644.41</v>
      </c>
      <c r="I604" s="18"/>
      <c r="J604" s="18"/>
      <c r="K604" s="104">
        <f>SUM(H604:J604)</f>
        <v>3644.41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3644.41</v>
      </c>
      <c r="I605" s="108">
        <f>SUM(I602:I604)</f>
        <v>0</v>
      </c>
      <c r="J605" s="108">
        <f>SUM(J602:J604)</f>
        <v>0</v>
      </c>
      <c r="K605" s="108">
        <f>SUM(K602:K604)</f>
        <v>3644.41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726.84+9425</f>
        <v>10151.84</v>
      </c>
      <c r="G611" s="18">
        <f>776.64+1636.18</f>
        <v>2412.8200000000002</v>
      </c>
      <c r="H611" s="18"/>
      <c r="I611" s="18">
        <f>196.61+645.54</f>
        <v>842.15</v>
      </c>
      <c r="J611" s="18"/>
      <c r="K611" s="18"/>
      <c r="L611" s="88">
        <f>SUM(F611:K611)</f>
        <v>13406.81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10151.84</v>
      </c>
      <c r="G614" s="108">
        <f t="shared" si="50"/>
        <v>2412.8200000000002</v>
      </c>
      <c r="H614" s="108">
        <f t="shared" si="50"/>
        <v>0</v>
      </c>
      <c r="I614" s="108">
        <f t="shared" si="50"/>
        <v>842.15</v>
      </c>
      <c r="J614" s="108">
        <f t="shared" si="50"/>
        <v>0</v>
      </c>
      <c r="K614" s="108">
        <f t="shared" si="50"/>
        <v>0</v>
      </c>
      <c r="L614" s="89">
        <f t="shared" si="50"/>
        <v>13406.81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381990.10000000003</v>
      </c>
      <c r="H617" s="109">
        <f>SUM(F52)</f>
        <v>381990.1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20578.410000000003</v>
      </c>
      <c r="H618" s="109">
        <f>SUM(G52)</f>
        <v>20578.41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20365.490000000002</v>
      </c>
      <c r="H619" s="109">
        <f>SUM(H52)</f>
        <v>20365.490000000002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224974.09000000003</v>
      </c>
      <c r="H621" s="109">
        <f>SUM(J52)</f>
        <v>224974.08999999997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204817.09999999998</v>
      </c>
      <c r="H622" s="109">
        <f>F476</f>
        <v>204817.10000000056</v>
      </c>
      <c r="I622" s="121" t="s">
        <v>101</v>
      </c>
      <c r="J622" s="109">
        <f t="shared" ref="J622:J655" si="51">G622-H622</f>
        <v>-5.8207660913467407E-10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13974.77</v>
      </c>
      <c r="H623" s="109">
        <f>G476</f>
        <v>13974.76999999999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212553.47999999998</v>
      </c>
      <c r="H626" s="109">
        <f>J476</f>
        <v>212553.48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4229396.58</v>
      </c>
      <c r="H627" s="104">
        <f>SUM(F468)</f>
        <v>4229396.58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57439.31</v>
      </c>
      <c r="H628" s="104">
        <f>SUM(G468)</f>
        <v>57439.31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85420.59</v>
      </c>
      <c r="H629" s="104">
        <f>SUM(H468)</f>
        <v>85420.59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81549.17</v>
      </c>
      <c r="H631" s="104">
        <f>SUM(J468)</f>
        <v>81549.17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4392879.5299999993</v>
      </c>
      <c r="H632" s="104">
        <f>SUM(F472)</f>
        <v>4392879.5299999993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85420.59</v>
      </c>
      <c r="H633" s="104">
        <f>SUM(H472)</f>
        <v>85420.59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24442.41</v>
      </c>
      <c r="H634" s="104">
        <f>I369</f>
        <v>24442.41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59585.270000000004</v>
      </c>
      <c r="H635" s="104">
        <f>SUM(G472)</f>
        <v>59585.270000000004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81549.17</v>
      </c>
      <c r="H637" s="164">
        <f>SUM(J468)</f>
        <v>81549.17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31688.53</v>
      </c>
      <c r="H638" s="164">
        <f>SUM(J472)</f>
        <v>31688.53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212553.48</v>
      </c>
      <c r="H640" s="104">
        <f>SUM(G461)</f>
        <v>212553.47999999998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12420.61</v>
      </c>
      <c r="H641" s="104">
        <f>SUM(H461)</f>
        <v>12420.61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224974.09000000003</v>
      </c>
      <c r="H642" s="104">
        <f>SUM(I461)</f>
        <v>224974.08999999997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81549.17</v>
      </c>
      <c r="H645" s="104">
        <f>G408</f>
        <v>81549.17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81549.17</v>
      </c>
      <c r="H646" s="104">
        <f>L408</f>
        <v>81549.17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180342.23</v>
      </c>
      <c r="H647" s="104">
        <f>L208+L226+L244</f>
        <v>180342.23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3644.41</v>
      </c>
      <c r="H648" s="104">
        <f>(J257+J338)-(J255+J336)</f>
        <v>3644.41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144504.92000000001</v>
      </c>
      <c r="H649" s="104">
        <f>H598</f>
        <v>144504.92000000001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35837.31</v>
      </c>
      <c r="H650" s="104">
        <f>I598</f>
        <v>35837.31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81549.17</v>
      </c>
      <c r="H655" s="104">
        <f>K266+K347</f>
        <v>81549.17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3388751.5399999991</v>
      </c>
      <c r="G660" s="19">
        <f>(L229+L309+L359)</f>
        <v>1067584.68</v>
      </c>
      <c r="H660" s="19">
        <f>(L247+L328+L360)</f>
        <v>0</v>
      </c>
      <c r="I660" s="19">
        <f>SUM(F660:H660)</f>
        <v>4456336.2199999988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45726.7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45726.7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144504.92000000001</v>
      </c>
      <c r="G662" s="19">
        <f>(L226+L306)-(J226+J306)</f>
        <v>35837.31</v>
      </c>
      <c r="H662" s="19">
        <f>(L244+L325)-(J244+J325)</f>
        <v>0</v>
      </c>
      <c r="I662" s="19">
        <f>SUM(F662:H662)</f>
        <v>180342.23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179488.25</v>
      </c>
      <c r="G663" s="199">
        <f>SUM(G575:G587)+SUM(I602:I604)+L612</f>
        <v>1031578.84</v>
      </c>
      <c r="H663" s="199">
        <f>SUM(H575:H587)+SUM(J602:J604)+L613</f>
        <v>0</v>
      </c>
      <c r="I663" s="19">
        <f>SUM(F663:H663)</f>
        <v>1211067.0899999999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3019031.669999999</v>
      </c>
      <c r="G664" s="19">
        <f>G660-SUM(G661:G663)</f>
        <v>168.53000000002794</v>
      </c>
      <c r="H664" s="19">
        <f>H660-SUM(H661:H663)</f>
        <v>0</v>
      </c>
      <c r="I664" s="19">
        <f>I660-SUM(I661:I663)</f>
        <v>3019200.1999999993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187.24</v>
      </c>
      <c r="G665" s="248"/>
      <c r="H665" s="248"/>
      <c r="I665" s="19">
        <f>SUM(F665:H665)</f>
        <v>187.24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16123.86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16124.76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-168.53</v>
      </c>
      <c r="H669" s="18"/>
      <c r="I669" s="19">
        <f>SUM(F669:H669)</f>
        <v>-168.53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16123.86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16123.86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Mont Vernon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907284.8</v>
      </c>
      <c r="C9" s="229">
        <f>'DOE25'!G197+'DOE25'!G215+'DOE25'!G233+'DOE25'!G276+'DOE25'!G295+'DOE25'!G314</f>
        <v>383340.23</v>
      </c>
    </row>
    <row r="10" spans="1:3" x14ac:dyDescent="0.2">
      <c r="A10" t="s">
        <v>773</v>
      </c>
      <c r="B10" s="240">
        <f>866450.6+825</f>
        <v>867275.6</v>
      </c>
      <c r="C10" s="240">
        <v>366435.79</v>
      </c>
    </row>
    <row r="11" spans="1:3" x14ac:dyDescent="0.2">
      <c r="A11" t="s">
        <v>774</v>
      </c>
      <c r="B11" s="240">
        <v>22709.200000000001</v>
      </c>
      <c r="C11" s="240">
        <v>9594.9500000000007</v>
      </c>
    </row>
    <row r="12" spans="1:3" x14ac:dyDescent="0.2">
      <c r="A12" t="s">
        <v>775</v>
      </c>
      <c r="B12" s="240">
        <v>17300</v>
      </c>
      <c r="C12" s="240">
        <v>7309.49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907284.79999999993</v>
      </c>
      <c r="C13" s="231">
        <f>SUM(C10:C12)</f>
        <v>383340.23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212660.28</v>
      </c>
      <c r="C18" s="229">
        <f>'DOE25'!G198+'DOE25'!G216+'DOE25'!G234+'DOE25'!G277+'DOE25'!G296+'DOE25'!G315</f>
        <v>91852.92</v>
      </c>
    </row>
    <row r="19" spans="1:3" x14ac:dyDescent="0.2">
      <c r="A19" t="s">
        <v>773</v>
      </c>
      <c r="B19" s="240">
        <v>105506</v>
      </c>
      <c r="C19" s="240">
        <v>45570.49</v>
      </c>
    </row>
    <row r="20" spans="1:3" x14ac:dyDescent="0.2">
      <c r="A20" t="s">
        <v>774</v>
      </c>
      <c r="B20" s="240">
        <f>91113.97+173.44</f>
        <v>91287.41</v>
      </c>
      <c r="C20" s="240">
        <v>39429.160000000003</v>
      </c>
    </row>
    <row r="21" spans="1:3" x14ac:dyDescent="0.2">
      <c r="A21" t="s">
        <v>775</v>
      </c>
      <c r="B21" s="240">
        <f>15866.87</f>
        <v>15866.87</v>
      </c>
      <c r="C21" s="240">
        <v>6853.27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212660.28</v>
      </c>
      <c r="C22" s="231">
        <f>SUM(C19:C21)</f>
        <v>91852.92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15319.84</v>
      </c>
      <c r="C36" s="235">
        <f>'DOE25'!G200+'DOE25'!G218+'DOE25'!G236+'DOE25'!G279+'DOE25'!G298+'DOE25'!G317</f>
        <v>3344.25</v>
      </c>
    </row>
    <row r="37" spans="1:3" x14ac:dyDescent="0.2">
      <c r="A37" t="s">
        <v>773</v>
      </c>
      <c r="B37" s="240">
        <f>14543-750</f>
        <v>13793</v>
      </c>
      <c r="C37" s="240">
        <v>3010.95</v>
      </c>
    </row>
    <row r="38" spans="1:3" x14ac:dyDescent="0.2">
      <c r="A38" t="s">
        <v>774</v>
      </c>
      <c r="B38" s="240">
        <v>726.84</v>
      </c>
      <c r="C38" s="240">
        <v>158.66</v>
      </c>
    </row>
    <row r="39" spans="1:3" x14ac:dyDescent="0.2">
      <c r="A39" t="s">
        <v>775</v>
      </c>
      <c r="B39" s="240">
        <v>800</v>
      </c>
      <c r="C39" s="240">
        <v>174.64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15319.84</v>
      </c>
      <c r="C40" s="231">
        <f>SUM(C37:C39)</f>
        <v>3344.2499999999995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Mont Vernon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2868034.7199999997</v>
      </c>
      <c r="D5" s="20">
        <f>SUM('DOE25'!L197:L200)+SUM('DOE25'!L215:L218)+SUM('DOE25'!L233:L236)-F5-G5</f>
        <v>2867011.2499999995</v>
      </c>
      <c r="E5" s="243"/>
      <c r="F5" s="255">
        <f>SUM('DOE25'!J197:J200)+SUM('DOE25'!J215:J218)+SUM('DOE25'!J233:J236)</f>
        <v>744.97</v>
      </c>
      <c r="G5" s="53">
        <f>SUM('DOE25'!K197:K200)+SUM('DOE25'!K215:K218)+SUM('DOE25'!K233:K236)</f>
        <v>278.5</v>
      </c>
      <c r="H5" s="259"/>
    </row>
    <row r="6" spans="1:9" x14ac:dyDescent="0.2">
      <c r="A6" s="32">
        <v>2100</v>
      </c>
      <c r="B6" t="s">
        <v>795</v>
      </c>
      <c r="C6" s="245">
        <f t="shared" si="0"/>
        <v>396394.61000000004</v>
      </c>
      <c r="D6" s="20">
        <f>'DOE25'!L202+'DOE25'!L220+'DOE25'!L238-F6-G6</f>
        <v>396215.61000000004</v>
      </c>
      <c r="E6" s="243"/>
      <c r="F6" s="255">
        <f>'DOE25'!J202+'DOE25'!J220+'DOE25'!J238</f>
        <v>0</v>
      </c>
      <c r="G6" s="53">
        <f>'DOE25'!K202+'DOE25'!K220+'DOE25'!K238</f>
        <v>179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111606.8</v>
      </c>
      <c r="D7" s="20">
        <f>'DOE25'!L203+'DOE25'!L221+'DOE25'!L239-F7-G7</f>
        <v>111606.8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220488.00999999998</v>
      </c>
      <c r="D8" s="243"/>
      <c r="E8" s="20">
        <f>'DOE25'!L204+'DOE25'!L222+'DOE25'!L240-F8-G8-D9-D11</f>
        <v>217482.4</v>
      </c>
      <c r="F8" s="255">
        <f>'DOE25'!J204+'DOE25'!J222+'DOE25'!J240</f>
        <v>0</v>
      </c>
      <c r="G8" s="53">
        <f>'DOE25'!K204+'DOE25'!K222+'DOE25'!K240</f>
        <v>3005.61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227622.36000000002</v>
      </c>
      <c r="D12" s="20">
        <f>'DOE25'!L205+'DOE25'!L223+'DOE25'!L241-F12-G12</f>
        <v>227533.36000000002</v>
      </c>
      <c r="E12" s="243"/>
      <c r="F12" s="255">
        <f>'DOE25'!J205+'DOE25'!J223+'DOE25'!J241</f>
        <v>0</v>
      </c>
      <c r="G12" s="53">
        <f>'DOE25'!K205+'DOE25'!K223+'DOE25'!K241</f>
        <v>89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258169.31</v>
      </c>
      <c r="D14" s="20">
        <f>'DOE25'!L207+'DOE25'!L225+'DOE25'!L243-F14-G14</f>
        <v>258169.31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180342.23</v>
      </c>
      <c r="D15" s="20">
        <f>'DOE25'!L208+'DOE25'!L226+'DOE25'!L244-F15-G15</f>
        <v>180342.23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48672.320000000007</v>
      </c>
      <c r="D16" s="243"/>
      <c r="E16" s="20">
        <f>'DOE25'!L209+'DOE25'!L227+'DOE25'!L245-F16-G16</f>
        <v>45772.880000000005</v>
      </c>
      <c r="F16" s="255">
        <f>'DOE25'!J209+'DOE25'!J227+'DOE25'!J245</f>
        <v>2899.44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39030.950000000004</v>
      </c>
      <c r="D29" s="20">
        <f>'DOE25'!L358+'DOE25'!L359+'DOE25'!L360-'DOE25'!I367-F29-G29</f>
        <v>38881.200000000004</v>
      </c>
      <c r="E29" s="243"/>
      <c r="F29" s="255">
        <f>'DOE25'!J358+'DOE25'!J359+'DOE25'!J360</f>
        <v>0</v>
      </c>
      <c r="G29" s="53">
        <f>'DOE25'!K358+'DOE25'!K359+'DOE25'!K360</f>
        <v>149.75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85420.59</v>
      </c>
      <c r="D31" s="20">
        <f>'DOE25'!L290+'DOE25'!L309+'DOE25'!L328+'DOE25'!L333+'DOE25'!L334+'DOE25'!L335-F31-G31</f>
        <v>85420.59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4165180.3499999992</v>
      </c>
      <c r="E33" s="246">
        <f>SUM(E5:E31)</f>
        <v>263255.28000000003</v>
      </c>
      <c r="F33" s="246">
        <f>SUM(F5:F31)</f>
        <v>3644.41</v>
      </c>
      <c r="G33" s="246">
        <f>SUM(G5:G31)</f>
        <v>3701.86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263255.28000000003</v>
      </c>
      <c r="E35" s="249"/>
    </row>
    <row r="36" spans="2:8" ht="12" thickTop="1" x14ac:dyDescent="0.2">
      <c r="B36" t="s">
        <v>809</v>
      </c>
      <c r="D36" s="20">
        <f>D33</f>
        <v>4165180.3499999992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346044.92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12420.61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1716.34</v>
      </c>
      <c r="D11" s="95">
        <f>'DOE25'!G12</f>
        <v>18149.150000000001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34161.69</v>
      </c>
      <c r="D12" s="95">
        <f>'DOE25'!G13</f>
        <v>2429.2600000000002</v>
      </c>
      <c r="E12" s="95">
        <f>'DOE25'!H13</f>
        <v>20365.490000000002</v>
      </c>
      <c r="F12" s="95">
        <f>'DOE25'!I13</f>
        <v>0</v>
      </c>
      <c r="G12" s="95">
        <f>'DOE25'!J13</f>
        <v>212553.48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67.150000000000006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381990.10000000003</v>
      </c>
      <c r="D18" s="41">
        <f>SUM(D8:D17)</f>
        <v>20578.410000000003</v>
      </c>
      <c r="E18" s="41">
        <f>SUM(E8:E17)</f>
        <v>20365.490000000002</v>
      </c>
      <c r="F18" s="41">
        <f>SUM(F8:F17)</f>
        <v>0</v>
      </c>
      <c r="G18" s="41">
        <f>SUM(G8:G17)</f>
        <v>224974.09000000003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19865.490000000002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153481.15</v>
      </c>
      <c r="D22" s="95">
        <f>'DOE25'!G23</f>
        <v>2446.1999999999998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16316.1</v>
      </c>
      <c r="D23" s="95">
        <f>'DOE25'!G24</f>
        <v>905.92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5799.5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948.84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627.41</v>
      </c>
      <c r="D29" s="95">
        <f>'DOE25'!G30</f>
        <v>3251.52</v>
      </c>
      <c r="E29" s="95">
        <f>'DOE25'!H30</f>
        <v>500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12420.61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177173</v>
      </c>
      <c r="D31" s="41">
        <f>SUM(D21:D30)</f>
        <v>6603.6399999999994</v>
      </c>
      <c r="E31" s="41">
        <f>SUM(E21:E30)</f>
        <v>20365.490000000002</v>
      </c>
      <c r="F31" s="41">
        <f>SUM(F21:F30)</f>
        <v>0</v>
      </c>
      <c r="G31" s="41">
        <f>SUM(G21:G30)</f>
        <v>12420.61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13974.77</v>
      </c>
      <c r="E47" s="95">
        <f>'DOE25'!H48</f>
        <v>0</v>
      </c>
      <c r="F47" s="95">
        <f>'DOE25'!I48</f>
        <v>0</v>
      </c>
      <c r="G47" s="95">
        <f>'DOE25'!J48</f>
        <v>212553.47999999998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154817.09999999998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204817.09999999998</v>
      </c>
      <c r="D50" s="41">
        <f>SUM(D34:D49)</f>
        <v>13974.77</v>
      </c>
      <c r="E50" s="41">
        <f>SUM(E34:E49)</f>
        <v>0</v>
      </c>
      <c r="F50" s="41">
        <f>SUM(F34:F49)</f>
        <v>0</v>
      </c>
      <c r="G50" s="41">
        <f>SUM(G34:G49)</f>
        <v>212553.47999999998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381990.1</v>
      </c>
      <c r="D51" s="41">
        <f>D50+D31</f>
        <v>20578.41</v>
      </c>
      <c r="E51" s="41">
        <f>E50+E31</f>
        <v>20365.490000000002</v>
      </c>
      <c r="F51" s="41">
        <f>F50+F31</f>
        <v>0</v>
      </c>
      <c r="G51" s="41">
        <f>G50+G31</f>
        <v>224974.08999999997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3050503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32239.5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462.6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45726.7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1334.9299999999998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34037.03</v>
      </c>
      <c r="D62" s="130">
        <f>SUM(D57:D61)</f>
        <v>45726.7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3084540.03</v>
      </c>
      <c r="D63" s="22">
        <f>D56+D62</f>
        <v>45726.7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728691.46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344497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6256.99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1079445.45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27575.57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783.62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27575.57</v>
      </c>
      <c r="D78" s="130">
        <f>SUM(D72:D77)</f>
        <v>783.62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1107021.02</v>
      </c>
      <c r="D81" s="130">
        <f>SUM(D79:D80)+D78+D70</f>
        <v>783.62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1807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6147</v>
      </c>
      <c r="D88" s="95">
        <f>SUM('DOE25'!G153:G161)</f>
        <v>10928.99</v>
      </c>
      <c r="E88" s="95">
        <f>SUM('DOE25'!H153:H161)</f>
        <v>83613.59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6147</v>
      </c>
      <c r="D91" s="131">
        <f>SUM(D85:D90)</f>
        <v>10928.99</v>
      </c>
      <c r="E91" s="131">
        <f>SUM(E85:E90)</f>
        <v>85420.59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81549.17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31688.53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31688.53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81549.17</v>
      </c>
    </row>
    <row r="104" spans="1:7" ht="12.75" thickTop="1" thickBot="1" x14ac:dyDescent="0.25">
      <c r="A104" s="33" t="s">
        <v>759</v>
      </c>
      <c r="C104" s="86">
        <f>C63+C81+C91+C103</f>
        <v>4229396.58</v>
      </c>
      <c r="D104" s="86">
        <f>D63+D81+D91+D103</f>
        <v>57439.31</v>
      </c>
      <c r="E104" s="86">
        <f>E63+E81+E91+E103</f>
        <v>85420.59</v>
      </c>
      <c r="F104" s="86">
        <f>F63+F81+F91+F103</f>
        <v>0</v>
      </c>
      <c r="G104" s="86">
        <f>G63+G81+G103</f>
        <v>81549.17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2377140.58</v>
      </c>
      <c r="D109" s="24" t="s">
        <v>286</v>
      </c>
      <c r="E109" s="95">
        <f>('DOE25'!L276)+('DOE25'!L295)+('DOE25'!L314)</f>
        <v>1807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484516.21</v>
      </c>
      <c r="D110" s="24" t="s">
        <v>286</v>
      </c>
      <c r="E110" s="95">
        <f>('DOE25'!L277)+('DOE25'!L296)+('DOE25'!L315)</f>
        <v>44635.51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6377.93</v>
      </c>
      <c r="D112" s="24" t="s">
        <v>286</v>
      </c>
      <c r="E112" s="95">
        <f>+('DOE25'!L279)+('DOE25'!L298)+('DOE25'!L317)</f>
        <v>13406.81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2868034.72</v>
      </c>
      <c r="D115" s="86">
        <f>SUM(D109:D114)</f>
        <v>0</v>
      </c>
      <c r="E115" s="86">
        <f>SUM(E109:E114)</f>
        <v>59849.32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396394.61000000004</v>
      </c>
      <c r="D118" s="24" t="s">
        <v>286</v>
      </c>
      <c r="E118" s="95">
        <f>+('DOE25'!L281)+('DOE25'!L300)+('DOE25'!L319)</f>
        <v>17504.689999999999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111606.8</v>
      </c>
      <c r="D119" s="24" t="s">
        <v>286</v>
      </c>
      <c r="E119" s="95">
        <f>+('DOE25'!L282)+('DOE25'!L301)+('DOE25'!L320)</f>
        <v>7316.58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220488.00999999998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227622.36000000002</v>
      </c>
      <c r="D121" s="24" t="s">
        <v>286</v>
      </c>
      <c r="E121" s="95">
        <f>+('DOE25'!L284)+('DOE25'!L303)+('DOE25'!L322)</f>
        <v>750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258169.31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180342.23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48672.320000000007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59585.270000000004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1443295.6400000001</v>
      </c>
      <c r="D128" s="86">
        <f>SUM(D118:D127)</f>
        <v>59585.270000000004</v>
      </c>
      <c r="E128" s="86">
        <f>SUM(E118:E127)</f>
        <v>25571.269999999997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31688.53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81549.17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81549.17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31688.53</v>
      </c>
    </row>
    <row r="145" spans="1:9" ht="12.75" thickTop="1" thickBot="1" x14ac:dyDescent="0.25">
      <c r="A145" s="33" t="s">
        <v>244</v>
      </c>
      <c r="C145" s="86">
        <f>(C115+C128+C144)</f>
        <v>4392879.53</v>
      </c>
      <c r="D145" s="86">
        <f>(D115+D128+D144)</f>
        <v>59585.270000000004</v>
      </c>
      <c r="E145" s="86">
        <f>(E115+E128+E144)</f>
        <v>85420.59</v>
      </c>
      <c r="F145" s="86">
        <f>(F115+F128+F144)</f>
        <v>0</v>
      </c>
      <c r="G145" s="86">
        <f>(G115+G128+G144)</f>
        <v>31688.53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Mont Vernon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16124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16124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2378948</v>
      </c>
      <c r="D10" s="182">
        <f>ROUND((C10/$C$28)*100,1)</f>
        <v>53.9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529152</v>
      </c>
      <c r="D11" s="182">
        <f>ROUND((C11/$C$28)*100,1)</f>
        <v>12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19785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413899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118923</v>
      </c>
      <c r="D16" s="182">
        <f t="shared" si="0"/>
        <v>2.7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269160</v>
      </c>
      <c r="D17" s="182">
        <f t="shared" si="0"/>
        <v>6.1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228372</v>
      </c>
      <c r="D18" s="182">
        <f t="shared" si="0"/>
        <v>5.2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258169</v>
      </c>
      <c r="D20" s="182">
        <f t="shared" si="0"/>
        <v>5.9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180342</v>
      </c>
      <c r="D21" s="182">
        <f t="shared" si="0"/>
        <v>4.0999999999999996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13858.300000000003</v>
      </c>
      <c r="D27" s="182">
        <f t="shared" si="0"/>
        <v>0.3</v>
      </c>
    </row>
    <row r="28" spans="1:4" x14ac:dyDescent="0.2">
      <c r="B28" s="187" t="s">
        <v>717</v>
      </c>
      <c r="C28" s="180">
        <f>SUM(C10:C27)</f>
        <v>4410608.3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4410608.3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3050503</v>
      </c>
      <c r="D35" s="182">
        <f t="shared" ref="D35:D40" si="1">ROUND((C35/$C$41)*100,1)</f>
        <v>71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34037.029999999795</v>
      </c>
      <c r="D36" s="182">
        <f t="shared" si="1"/>
        <v>0.8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1073188</v>
      </c>
      <c r="D37" s="182">
        <f t="shared" si="1"/>
        <v>25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34616</v>
      </c>
      <c r="D38" s="182">
        <f t="shared" si="1"/>
        <v>0.8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102497</v>
      </c>
      <c r="D39" s="182">
        <f t="shared" si="1"/>
        <v>2.4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4294841.0299999993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Mont Vernon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2018-08-07T20:54:26Z</cp:lastPrinted>
  <dcterms:created xsi:type="dcterms:W3CDTF">1997-12-04T19:04:30Z</dcterms:created>
  <dcterms:modified xsi:type="dcterms:W3CDTF">2018-11-30T15:43:26Z</dcterms:modified>
</cp:coreProperties>
</file>