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12585" yWindow="-15" windowWidth="12630" windowHeight="1239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225" i="1" l="1"/>
  <c r="F465" i="1"/>
  <c r="F216" i="1"/>
  <c r="I198" i="1"/>
  <c r="G198" i="1"/>
  <c r="H155" i="1" l="1"/>
  <c r="H159" i="1"/>
  <c r="H154" i="1"/>
  <c r="J110" i="1"/>
  <c r="J96" i="1"/>
  <c r="J468" i="1"/>
  <c r="H400" i="1"/>
  <c r="H397" i="1"/>
  <c r="H396" i="1"/>
  <c r="I395" i="1"/>
  <c r="H244" i="1"/>
  <c r="H234" i="1"/>
  <c r="H226" i="1"/>
  <c r="H216" i="1"/>
  <c r="H208" i="1"/>
  <c r="H198" i="1"/>
  <c r="G440" i="1"/>
  <c r="J47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D17" i="13" s="1"/>
  <c r="C17" i="13" s="1"/>
  <c r="G17" i="13"/>
  <c r="L251" i="1"/>
  <c r="F18" i="13"/>
  <c r="G18" i="13"/>
  <c r="L252" i="1"/>
  <c r="F19" i="13"/>
  <c r="G19" i="13"/>
  <c r="L253" i="1"/>
  <c r="D19" i="13" s="1"/>
  <c r="C19" i="13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28" i="1" s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G147" i="1"/>
  <c r="G162" i="1"/>
  <c r="H147" i="1"/>
  <c r="E85" i="2" s="1"/>
  <c r="H162" i="1"/>
  <c r="I147" i="1"/>
  <c r="I162" i="1"/>
  <c r="L250" i="1"/>
  <c r="C113" i="2" s="1"/>
  <c r="L332" i="1"/>
  <c r="L254" i="1"/>
  <c r="L268" i="1"/>
  <c r="L269" i="1"/>
  <c r="C143" i="2" s="1"/>
  <c r="L349" i="1"/>
  <c r="L350" i="1"/>
  <c r="I665" i="1"/>
  <c r="I670" i="1"/>
  <c r="G662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D18" i="2" s="1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D91" i="2" s="1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2" i="2"/>
  <c r="E113" i="2"/>
  <c r="D115" i="2"/>
  <c r="F115" i="2"/>
  <c r="G115" i="2"/>
  <c r="E120" i="2"/>
  <c r="E123" i="2"/>
  <c r="E124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H461" i="1" s="1"/>
  <c r="H641" i="1" s="1"/>
  <c r="F460" i="1"/>
  <c r="G460" i="1"/>
  <c r="G461" i="1" s="1"/>
  <c r="H640" i="1" s="1"/>
  <c r="H460" i="1"/>
  <c r="F461" i="1"/>
  <c r="F470" i="1"/>
  <c r="G470" i="1"/>
  <c r="H470" i="1"/>
  <c r="I470" i="1"/>
  <c r="J470" i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J571" i="1" s="1"/>
  <c r="K560" i="1"/>
  <c r="K571" i="1" s="1"/>
  <c r="L562" i="1"/>
  <c r="L563" i="1"/>
  <c r="L564" i="1"/>
  <c r="F565" i="1"/>
  <c r="G565" i="1"/>
  <c r="H565" i="1"/>
  <c r="I565" i="1"/>
  <c r="I571" i="1" s="1"/>
  <c r="J565" i="1"/>
  <c r="K565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5" i="1" s="1"/>
  <c r="G648" i="1" s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J639" i="1" s="1"/>
  <c r="H639" i="1"/>
  <c r="G643" i="1"/>
  <c r="J643" i="1" s="1"/>
  <c r="H643" i="1"/>
  <c r="G644" i="1"/>
  <c r="H645" i="1"/>
  <c r="G650" i="1"/>
  <c r="G651" i="1"/>
  <c r="G652" i="1"/>
  <c r="H652" i="1"/>
  <c r="G653" i="1"/>
  <c r="H653" i="1"/>
  <c r="G654" i="1"/>
  <c r="H654" i="1"/>
  <c r="H655" i="1"/>
  <c r="F192" i="1"/>
  <c r="D50" i="2"/>
  <c r="E78" i="2"/>
  <c r="E81" i="2" s="1"/>
  <c r="I169" i="1"/>
  <c r="G338" i="1"/>
  <c r="G352" i="1" s="1"/>
  <c r="J140" i="1"/>
  <c r="G22" i="2"/>
  <c r="J552" i="1"/>
  <c r="H140" i="1"/>
  <c r="H571" i="1"/>
  <c r="F338" i="1"/>
  <c r="F352" i="1" s="1"/>
  <c r="E16" i="13"/>
  <c r="G36" i="2"/>
  <c r="L565" i="1"/>
  <c r="L534" i="1" l="1"/>
  <c r="K549" i="1"/>
  <c r="F552" i="1"/>
  <c r="K550" i="1"/>
  <c r="K551" i="1"/>
  <c r="H545" i="1"/>
  <c r="E125" i="2"/>
  <c r="H552" i="1"/>
  <c r="F169" i="1"/>
  <c r="F571" i="1"/>
  <c r="K545" i="1"/>
  <c r="G545" i="1"/>
  <c r="I545" i="1"/>
  <c r="I460" i="1"/>
  <c r="I461" i="1" s="1"/>
  <c r="H642" i="1" s="1"/>
  <c r="I452" i="1"/>
  <c r="J641" i="1"/>
  <c r="I408" i="1"/>
  <c r="L256" i="1"/>
  <c r="C26" i="10"/>
  <c r="E62" i="2"/>
  <c r="E63" i="2" s="1"/>
  <c r="C35" i="10"/>
  <c r="F22" i="13"/>
  <c r="C22" i="13" s="1"/>
  <c r="E114" i="2"/>
  <c r="L309" i="1"/>
  <c r="E122" i="2"/>
  <c r="E118" i="2"/>
  <c r="D18" i="13"/>
  <c r="C18" i="13" s="1"/>
  <c r="C19" i="10"/>
  <c r="H408" i="1"/>
  <c r="H644" i="1" s="1"/>
  <c r="H338" i="1"/>
  <c r="H352" i="1" s="1"/>
  <c r="E121" i="2"/>
  <c r="K500" i="1"/>
  <c r="J624" i="1"/>
  <c r="I476" i="1"/>
  <c r="H625" i="1" s="1"/>
  <c r="J634" i="1"/>
  <c r="K338" i="1"/>
  <c r="G164" i="2"/>
  <c r="C114" i="2"/>
  <c r="D81" i="2"/>
  <c r="I552" i="1"/>
  <c r="E111" i="2"/>
  <c r="H662" i="1"/>
  <c r="E112" i="2"/>
  <c r="J545" i="1"/>
  <c r="L433" i="1"/>
  <c r="L419" i="1"/>
  <c r="G192" i="1"/>
  <c r="I52" i="1"/>
  <c r="H620" i="1" s="1"/>
  <c r="G157" i="2"/>
  <c r="G81" i="2"/>
  <c r="F78" i="2"/>
  <c r="F81" i="2" s="1"/>
  <c r="C70" i="2"/>
  <c r="F18" i="2"/>
  <c r="E119" i="2"/>
  <c r="J644" i="1"/>
  <c r="J655" i="1"/>
  <c r="G645" i="1"/>
  <c r="J645" i="1" s="1"/>
  <c r="G62" i="2"/>
  <c r="G63" i="2" s="1"/>
  <c r="C110" i="2"/>
  <c r="C21" i="10"/>
  <c r="C11" i="10"/>
  <c r="J476" i="1"/>
  <c r="H626" i="1" s="1"/>
  <c r="J640" i="1"/>
  <c r="I446" i="1"/>
  <c r="G642" i="1" s="1"/>
  <c r="J617" i="1"/>
  <c r="F476" i="1"/>
  <c r="H622" i="1" s="1"/>
  <c r="J622" i="1" s="1"/>
  <c r="G161" i="2"/>
  <c r="L427" i="1"/>
  <c r="L434" i="1" s="1"/>
  <c r="G638" i="1" s="1"/>
  <c r="J638" i="1" s="1"/>
  <c r="F112" i="1"/>
  <c r="H169" i="1"/>
  <c r="E31" i="2"/>
  <c r="G476" i="1"/>
  <c r="H623" i="1" s="1"/>
  <c r="J623" i="1" s="1"/>
  <c r="D127" i="2"/>
  <c r="D128" i="2" s="1"/>
  <c r="D145" i="2" s="1"/>
  <c r="G661" i="1"/>
  <c r="L362" i="1"/>
  <c r="H661" i="1"/>
  <c r="D31" i="2"/>
  <c r="D51" i="2" s="1"/>
  <c r="J651" i="1"/>
  <c r="K598" i="1"/>
  <c r="G647" i="1" s="1"/>
  <c r="L270" i="1"/>
  <c r="H25" i="13"/>
  <c r="C32" i="10"/>
  <c r="C121" i="2"/>
  <c r="C17" i="10"/>
  <c r="A31" i="12"/>
  <c r="A13" i="12"/>
  <c r="L247" i="1"/>
  <c r="H660" i="1" s="1"/>
  <c r="C109" i="2"/>
  <c r="D14" i="13"/>
  <c r="C14" i="13" s="1"/>
  <c r="C16" i="10"/>
  <c r="C15" i="10"/>
  <c r="F257" i="1"/>
  <c r="F271" i="1" s="1"/>
  <c r="C78" i="2"/>
  <c r="C18" i="2"/>
  <c r="C12" i="10"/>
  <c r="I257" i="1"/>
  <c r="I271" i="1" s="1"/>
  <c r="J257" i="1"/>
  <c r="J271" i="1" s="1"/>
  <c r="L229" i="1"/>
  <c r="G660" i="1" s="1"/>
  <c r="G257" i="1"/>
  <c r="G271" i="1" s="1"/>
  <c r="C20" i="10"/>
  <c r="C123" i="2"/>
  <c r="C18" i="10"/>
  <c r="D12" i="13"/>
  <c r="C12" i="13" s="1"/>
  <c r="E8" i="13"/>
  <c r="C8" i="13" s="1"/>
  <c r="C119" i="2"/>
  <c r="D7" i="13"/>
  <c r="C7" i="13" s="1"/>
  <c r="K257" i="1"/>
  <c r="K271" i="1" s="1"/>
  <c r="A40" i="12"/>
  <c r="L211" i="1"/>
  <c r="H257" i="1"/>
  <c r="H271" i="1" s="1"/>
  <c r="C10" i="10"/>
  <c r="D5" i="13"/>
  <c r="C5" i="13" s="1"/>
  <c r="E128" i="2"/>
  <c r="C81" i="2"/>
  <c r="G552" i="1"/>
  <c r="H112" i="1"/>
  <c r="D29" i="13"/>
  <c r="C29" i="13" s="1"/>
  <c r="L290" i="1"/>
  <c r="K503" i="1"/>
  <c r="L382" i="1"/>
  <c r="G636" i="1" s="1"/>
  <c r="J636" i="1" s="1"/>
  <c r="E109" i="2"/>
  <c r="E115" i="2" s="1"/>
  <c r="E13" i="13"/>
  <c r="C13" i="13" s="1"/>
  <c r="D6" i="13"/>
  <c r="C6" i="13" s="1"/>
  <c r="D15" i="13"/>
  <c r="C15" i="13" s="1"/>
  <c r="G649" i="1"/>
  <c r="J649" i="1" s="1"/>
  <c r="L544" i="1"/>
  <c r="L524" i="1"/>
  <c r="J338" i="1"/>
  <c r="J352" i="1" s="1"/>
  <c r="E130" i="2"/>
  <c r="E144" i="2" s="1"/>
  <c r="C124" i="2"/>
  <c r="C122" i="2"/>
  <c r="C120" i="2"/>
  <c r="C118" i="2"/>
  <c r="C111" i="2"/>
  <c r="C56" i="2"/>
  <c r="F662" i="1"/>
  <c r="I662" i="1" s="1"/>
  <c r="C13" i="10"/>
  <c r="C16" i="13"/>
  <c r="L539" i="1"/>
  <c r="K352" i="1"/>
  <c r="C62" i="2"/>
  <c r="F661" i="1"/>
  <c r="C29" i="10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G140" i="1"/>
  <c r="F140" i="1"/>
  <c r="F193" i="1" s="1"/>
  <c r="G627" i="1" s="1"/>
  <c r="J627" i="1" s="1"/>
  <c r="C36" i="10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C27" i="10"/>
  <c r="G635" i="1"/>
  <c r="J635" i="1" s="1"/>
  <c r="K552" i="1" l="1"/>
  <c r="H193" i="1"/>
  <c r="G629" i="1" s="1"/>
  <c r="J629" i="1" s="1"/>
  <c r="F51" i="2"/>
  <c r="H664" i="1"/>
  <c r="H667" i="1" s="1"/>
  <c r="J647" i="1"/>
  <c r="G104" i="2"/>
  <c r="H646" i="1"/>
  <c r="E145" i="2"/>
  <c r="C39" i="10"/>
  <c r="G664" i="1"/>
  <c r="G672" i="1" s="1"/>
  <c r="C5" i="10" s="1"/>
  <c r="I661" i="1"/>
  <c r="C25" i="13"/>
  <c r="H33" i="13"/>
  <c r="C115" i="2"/>
  <c r="L257" i="1"/>
  <c r="L271" i="1" s="1"/>
  <c r="G632" i="1" s="1"/>
  <c r="J632" i="1" s="1"/>
  <c r="C128" i="2"/>
  <c r="E33" i="13"/>
  <c r="D35" i="13" s="1"/>
  <c r="F660" i="1"/>
  <c r="F664" i="1" s="1"/>
  <c r="F667" i="1" s="1"/>
  <c r="D31" i="13"/>
  <c r="C31" i="13" s="1"/>
  <c r="L545" i="1"/>
  <c r="C28" i="10"/>
  <c r="D24" i="10" s="1"/>
  <c r="H648" i="1"/>
  <c r="J648" i="1" s="1"/>
  <c r="L338" i="1"/>
  <c r="L352" i="1" s="1"/>
  <c r="G633" i="1" s="1"/>
  <c r="J633" i="1" s="1"/>
  <c r="C63" i="2"/>
  <c r="C104" i="2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D33" i="13"/>
  <c r="D36" i="13" s="1"/>
  <c r="G667" i="1"/>
  <c r="C145" i="2"/>
  <c r="F672" i="1"/>
  <c r="C4" i="10" s="1"/>
  <c r="I660" i="1"/>
  <c r="I664" i="1" s="1"/>
  <c r="I672" i="1" s="1"/>
  <c r="C7" i="10" s="1"/>
  <c r="D22" i="10"/>
  <c r="D20" i="10"/>
  <c r="D11" i="10"/>
  <c r="D25" i="10"/>
  <c r="D13" i="10"/>
  <c r="D15" i="10"/>
  <c r="D19" i="10"/>
  <c r="D21" i="10"/>
  <c r="D27" i="10"/>
  <c r="D17" i="10"/>
  <c r="D12" i="10"/>
  <c r="D10" i="10"/>
  <c r="D26" i="10"/>
  <c r="C30" i="10"/>
  <c r="D16" i="10"/>
  <c r="D23" i="10"/>
  <c r="D18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<sst xmlns="http://schemas.openxmlformats.org/spreadsheetml/2006/main" count="3959" uniqueCount="915">
  <si>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</si>
  <si>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</si>
  <si>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</si>
  <si>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</si>
  <si>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</si>
  <si>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</si>
  <si>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</si>
  <si>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</si>
  <si>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</si>
  <si>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</si>
  <si>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</si>
  <si>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</si>
  <si>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</si>
  <si>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</si>
  <si>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</si>
  <si>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</si>
  <si>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</si>
  <si>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</si>
  <si>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</si>
  <si>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</si>
  <si>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</si>
  <si>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</si>
  <si>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</si>
  <si>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</si>
  <si>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</si>
  <si>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</si>
  <si>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</si>
  <si>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</si>
  <si>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</si>
  <si>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</si>
  <si>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</si>
  <si>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</si>
  <si>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</si>
  <si>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</si>
  <si>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</si>
  <si>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</si>
  <si>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</si>
  <si>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</si>
  <si>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</si>
  <si>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</si>
  <si>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</si>
  <si>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</si>
  <si>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</si>
  <si>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</si>
  <si>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</si>
  <si>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</si>
  <si>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</si>
  <si>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</si>
  <si>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</si>
  <si>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</si>
  <si>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</si>
  <si>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</si>
  <si>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</si>
  <si>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</si>
  <si>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</si>
  <si>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</si>
  <si>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</si>
  <si>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</si>
  <si>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</si>
  <si>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</si>
  <si>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</si>
  <si>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</si>
  <si>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</si>
  <si>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</si>
  <si>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</si>
  <si>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</si>
  <si>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</si>
  <si>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</si>
  <si>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</si>
  <si>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</si>
  <si>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</si>
  <si>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</si>
  <si>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</si>
  <si>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</si>
  <si>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</si>
  <si>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</si>
  <si>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</si>
  <si>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</si>
  <si>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</si>
  <si>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</si>
  <si>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</si>
  <si>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</si>
  <si>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</si>
  <si>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</si>
  <si>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</si>
  <si>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</si>
  <si>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</si>
  <si>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</si>
  <si>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</si>
  <si>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</si>
  <si>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</si>
  <si>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</si>
  <si>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</si>
  <si>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</si>
  <si>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</si>
  <si>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</si>
  <si>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</si>
  <si>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</si>
  <si>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</si>
  <si>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</si>
  <si>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</si>
  <si>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</si>
  <si>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</si>
  <si>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</si>
  <si>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</si>
  <si>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</si>
  <si>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</si>
  <si>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</si>
  <si>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</si>
  <si>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</si>
  <si>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</si>
  <si>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</si>
  <si>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</si>
  <si>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</si>
  <si>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</si>
  <si>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</si>
  <si>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</si>
  <si>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</si>
  <si>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</si>
  <si>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</si>
  <si>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</si>
  <si>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</si>
  <si>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</si>
  <si>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</si>
  <si>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</si>
  <si>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</si>
  <si>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</si>
  <si>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</si>
  <si>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</si>
  <si>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</si>
  <si>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</si>
  <si>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</si>
  <si>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</si>
  <si>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</si>
  <si>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</si>
  <si>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</si>
  <si>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</si>
  <si>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</si>
  <si>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</si>
  <si>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</si>
  <si>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</si>
  <si>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</si>
  <si>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</si>
  <si>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</si>
  <si>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</si>
  <si>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</si>
  <si>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</si>
  <si>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</si>
  <si>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</si>
  <si>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</si>
  <si>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</si>
  <si>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</si>
  <si>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</si>
  <si>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</si>
  <si>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</si>
  <si>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</si>
  <si>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</si>
  <si>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</si>
  <si>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</si>
  <si>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</si>
  <si>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</si>
  <si>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</si>
  <si>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</si>
  <si>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</si>
  <si>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</si>
  <si>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</si>
  <si>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</si>
  <si>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</si>
  <si>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</si>
  <si>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</si>
  <si>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</si>
  <si>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</si>
  <si>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</si>
  <si>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</si>
  <si>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</si>
  <si>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</si>
  <si>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</si>
  <si>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</si>
  <si>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</si>
  <si>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</si>
  <si>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</si>
  <si>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</si>
  <si>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</si>
  <si>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</si>
  <si>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</si>
  <si>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</si>
  <si>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</si>
  <si>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</si>
  <si>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</si>
  <si>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</si>
  <si>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</si>
  <si>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</si>
  <si>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</si>
  <si>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</si>
  <si>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</si>
  <si>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</si>
  <si>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</si>
  <si>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</si>
  <si>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</si>
  <si>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</si>
  <si>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</si>
  <si>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</si>
  <si>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</si>
  <si>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</si>
  <si>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</si>
  <si>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</si>
  <si>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</si>
  <si>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</si>
  <si>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</si>
  <si>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</si>
  <si>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</si>
  <si>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</si>
  <si>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</si>
  <si>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</si>
  <si>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</si>
  <si>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</si>
  <si>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</si>
  <si>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</si>
  <si>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</si>
  <si>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</si>
  <si>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</si>
  <si>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</si>
  <si>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</si>
  <si>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</si>
  <si>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</si>
  <si>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</si>
  <si>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</si>
  <si>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</si>
  <si>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</si>
  <si>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</si>
  <si>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</si>
  <si>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</si>
  <si>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</si>
  <si>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</si>
  <si>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</si>
  <si>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</si>
  <si>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</si>
  <si>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</si>
  <si>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</si>
  <si>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</si>
  <si>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</si>
  <si>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</si>
  <si>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</si>
  <si>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</si>
  <si>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</si>
  <si>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</si>
  <si>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</si>
  <si>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</si>
  <si>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</si>
  <si>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</si>
  <si>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</si>
  <si>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</si>
  <si>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</si>
  <si>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</si>
  <si>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</si>
  <si>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</si>
  <si>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</si>
  <si>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</si>
  <si>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</si>
  <si>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</si>
  <si>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</si>
  <si>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</si>
  <si>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</si>
  <si>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</si>
  <si>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</si>
  <si>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</si>
  <si>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</si>
  <si>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</si>
  <si>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</si>
  <si>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</si>
  <si>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</si>
  <si>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</si>
  <si>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</si>
  <si>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</si>
  <si>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</si>
  <si>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</si>
  <si>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</si>
  <si>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</si>
  <si>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</si>
  <si>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</si>
  <si>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</si>
  <si>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</si>
  <si>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</si>
  <si>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</si>
  <si>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</si>
  <si>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</si>
  <si>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</si>
  <si>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</si>
  <si>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</si>
  <si>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</si>
  <si>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</si>
  <si>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</si>
  <si>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</si>
  <si>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</si>
  <si>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</si>
  <si>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</si>
  <si>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</si>
  <si>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</si>
  <si>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</si>
  <si>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</si>
  <si>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</si>
  <si>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</si>
  <si>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</si>
  <si>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</si>
  <si>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</si>
  <si>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</si>
  <si>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</si>
  <si>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</si>
  <si>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</si>
  <si>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</si>
  <si>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</si>
  <si>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</si>
  <si>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</si>
  <si>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</si>
  <si>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</si>
  <si>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</si>
  <si>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</si>
  <si>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</si>
  <si>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</si>
  <si>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</si>
  <si>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</si>
  <si>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</si>
  <si>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</si>
  <si>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</si>
  <si>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</si>
  <si>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</si>
  <si>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</si>
  <si>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</si>
  <si>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</si>
  <si>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</si>
  <si>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</si>
  <si>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</si>
  <si>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</si>
  <si>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</si>
  <si>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</si>
  <si>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</si>
  <si>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</si>
  <si>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</si>
  <si>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</si>
  <si>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</si>
  <si>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</si>
  <si>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</si>
  <si>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</si>
  <si>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</si>
  <si>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</si>
  <si>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</si>
  <si>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</si>
  <si>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</si>
  <si>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</si>
  <si>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</si>
  <si>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</si>
  <si>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</si>
  <si>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</si>
  <si>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</si>
  <si>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</si>
  <si>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</si>
  <si>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</si>
  <si>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</si>
  <si>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</si>
  <si>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</si>
  <si>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</si>
  <si>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</si>
  <si>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</si>
  <si>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</si>
  <si>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</si>
  <si>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</si>
  <si>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</si>
  <si>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</si>
  <si>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</si>
  <si>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</si>
  <si>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</si>
  <si>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</si>
  <si>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</si>
  <si>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</si>
  <si>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</si>
  <si>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</si>
  <si>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</si>
  <si>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</si>
  <si>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</si>
  <si>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</si>
  <si>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</si>
  <si>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</si>
  <si>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</si>
  <si>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</si>
  <si>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</si>
  <si>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</si>
  <si>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</si>
  <si>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</si>
  <si>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</si>
  <si>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</si>
  <si>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</si>
  <si>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</si>
  <si>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</si>
  <si>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</si>
  <si>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</si>
  <si>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</si>
  <si>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</si>
  <si>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</si>
  <si>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</si>
  <si>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</si>
  <si>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</si>
  <si>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</si>
  <si>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</si>
  <si>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</si>
  <si>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</si>
  <si>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</si>
  <si>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</si>
  <si>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</si>
  <si>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</si>
  <si>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</si>
  <si>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</si>
  <si>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</si>
  <si>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</si>
  <si>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</si>
  <si>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</si>
  <si>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</si>
  <si>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</si>
  <si>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</si>
  <si>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</si>
  <si>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</si>
  <si>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</si>
  <si>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</si>
  <si>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</si>
  <si>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</si>
  <si>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</si>
  <si>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</si>
  <si>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</si>
  <si>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</si>
  <si>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</si>
  <si>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</si>
  <si>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</si>
  <si>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</si>
  <si>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</si>
  <si>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</si>
  <si>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</si>
  <si>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</si>
  <si>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</si>
  <si>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</si>
  <si>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</si>
  <si>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</si>
  <si>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</si>
  <si>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</si>
  <si>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</si>
  <si>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</si>
  <si>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</si>
  <si>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</si>
  <si>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</si>
  <si>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</si>
  <si>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</si>
  <si>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</si>
  <si>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</si>
  <si>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</si>
  <si>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</si>
  <si>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</si>
  <si>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</si>
  <si>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</si>
  <si>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</si>
  <si>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</si>
  <si>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</si>
  <si>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</si>
  <si>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</si>
  <si>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</si>
  <si>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</si>
  <si>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</si>
  <si>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</si>
  <si>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</si>
  <si>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</si>
  <si>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</si>
  <si>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</si>
  <si>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</si>
  <si>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</si>
  <si>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</si>
  <si>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</si>
  <si>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</si>
  <si>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</si>
  <si>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</si>
  <si>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</si>
  <si>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</si>
  <si>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</si>
  <si>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</si>
  <si>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</si>
  <si>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</si>
  <si>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</si>
  <si>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</si>
  <si>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</si>
  <si>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</si>
  <si>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</si>
  <si>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</si>
  <si>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</si>
  <si>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</si>
  <si>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</si>
  <si>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</si>
  <si>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</si>
  <si>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</si>
  <si>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</si>
  <si>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</si>
  <si>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</si>
  <si>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</si>
  <si>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</si>
  <si>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</si>
  <si>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</si>
  <si>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</si>
  <si>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</si>
  <si>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</si>
  <si>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</si>
  <si>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</si>
  <si>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</si>
  <si>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</si>
  <si>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</si>
  <si>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</si>
  <si>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</si>
  <si>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</si>
  <si>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</si>
  <si>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</si>
  <si>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</si>
  <si>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</si>
  <si>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</si>
  <si>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</si>
  <si>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</si>
  <si>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</si>
  <si>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</si>
  <si>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</si>
  <si>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</si>
  <si>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</si>
  <si>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</si>
  <si>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</si>
  <si>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</si>
  <si>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</si>
  <si>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</si>
  <si>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</si>
  <si>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</si>
  <si>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</si>
  <si>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</si>
  <si>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</si>
  <si>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</si>
  <si>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</si>
  <si>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</si>
  <si>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</si>
  <si>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</si>
  <si>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</si>
  <si>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</si>
  <si>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</si>
  <si>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</si>
  <si>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</si>
  <si>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</si>
  <si>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</si>
  <si>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</si>
  <si>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</si>
  <si>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</si>
  <si>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</si>
  <si>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</si>
  <si>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</si>
  <si>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</si>
  <si>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</si>
  <si>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</si>
  <si>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</si>
  <si>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</si>
  <si>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</si>
  <si>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</si>
  <si>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</si>
  <si>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</si>
  <si>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</si>
  <si>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</si>
  <si>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</si>
  <si>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</si>
  <si>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</si>
  <si>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</si>
  <si>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</si>
  <si>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</si>
  <si>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</si>
  <si>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</si>
  <si>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</si>
  <si>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</si>
  <si>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</si>
  <si>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</si>
  <si>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</si>
  <si>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</si>
  <si>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</si>
  <si>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</si>
  <si>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</si>
  <si>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</si>
  <si>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</si>
  <si>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</si>
  <si>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</si>
  <si>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</si>
  <si>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</si>
  <si>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</si>
  <si>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</si>
  <si>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</si>
  <si>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</si>
  <si>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</si>
  <si>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</si>
  <si>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</si>
  <si>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</si>
  <si>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</si>
  <si>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</si>
  <si>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</si>
  <si>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</si>
  <si>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</si>
  <si>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</si>
  <si>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</si>
  <si>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</si>
  <si>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</si>
  <si>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</si>
  <si>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</si>
  <si>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</si>
  <si>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</si>
  <si>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</si>
  <si>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</si>
  <si>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</si>
  <si>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</si>
  <si>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</si>
  <si>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</si>
  <si>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</si>
  <si>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</si>
  <si>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</si>
  <si>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</si>
  <si>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</si>
  <si>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</si>
  <si>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</si>
  <si>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</si>
  <si>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</si>
  <si>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</si>
  <si>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</si>
  <si>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</si>
  <si>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</si>
  <si>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</si>
  <si>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</si>
  <si>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</si>
  <si>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</si>
  <si>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</si>
  <si>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</si>
  <si>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</si>
  <si>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</si>
  <si>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</si>
  <si>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</si>
  <si>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</si>
  <si>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</si>
  <si>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</si>
  <si>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</si>
  <si>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</si>
  <si>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</si>
  <si>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</si>
  <si>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</si>
  <si>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</si>
  <si>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</si>
  <si>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</si>
  <si>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</si>
  <si>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</si>
  <si>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</si>
  <si>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</si>
  <si>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</si>
  <si>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</si>
  <si>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</si>
  <si>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</si>
  <si>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</si>
  <si>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</si>
  <si>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</si>
  <si>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</si>
  <si>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</si>
  <si>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</si>
  <si>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</si>
  <si>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</si>
  <si>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</si>
  <si>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</si>
  <si>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</si>
  <si>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</si>
  <si>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</si>
  <si>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</si>
  <si>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</si>
  <si>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</si>
  <si>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</si>
  <si>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</si>
  <si>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</si>
  <si>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</si>
  <si>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</si>
  <si>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</si>
  <si>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</si>
  <si>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</si>
  <si>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</si>
  <si>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</si>
  <si>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</si>
  <si>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</si>
  <si>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</si>
  <si>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</si>
  <si>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</si>
  <si>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</si>
  <si>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</si>
  <si>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</si>
  <si>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</si>
  <si>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</si>
  <si>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</si>
  <si>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</si>
  <si>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</si>
  <si>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</si>
  <si>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</si>
  <si>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</si>
  <si>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</si>
  <si>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</si>
  <si>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</si>
  <si>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</si>
  <si>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</si>
  <si>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</si>
  <si>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</si>
  <si>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</si>
  <si>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</si>
  <si>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</si>
  <si>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</si>
  <si>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</si>
  <si>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</si>
  <si>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</si>
  <si>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</si>
  <si>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</si>
  <si>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</si>
  <si>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</si>
  <si>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</si>
  <si>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</si>
  <si>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</si>
  <si>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</si>
  <si>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</si>
  <si>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</si>
  <si>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</si>
  <si>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</si>
  <si>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</si>
  <si>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</si>
  <si>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</si>
  <si>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</si>
  <si>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</si>
  <si>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</si>
  <si>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</si>
  <si>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</si>
  <si>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</si>
  <si>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</si>
  <si>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</si>
  <si>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</si>
  <si>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</si>
  <si>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</si>
  <si>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</si>
  <si>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</si>
  <si>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</si>
  <si>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</si>
  <si>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</si>
  <si>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</si>
  <si>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</si>
  <si>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</si>
  <si>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</si>
  <si>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</si>
  <si>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</si>
  <si>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</si>
  <si>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</si>
  <si>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</si>
  <si>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</si>
  <si>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</si>
  <si>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</si>
  <si>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</si>
  <si>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</si>
  <si>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</si>
  <si>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</si>
  <si>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</si>
  <si>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</si>
  <si>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</si>
  <si>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</si>
  <si>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</si>
  <si>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</si>
  <si>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</si>
  <si>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</si>
  <si>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</si>
  <si>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</si>
  <si>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</si>
  <si>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</si>
  <si>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</si>
  <si>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</si>
  <si>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</si>
  <si>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</si>
  <si>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</si>
  <si>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</si>
  <si>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</si>
  <si>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</si>
  <si>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</si>
  <si>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</si>
  <si>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</si>
  <si>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</si>
  <si>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</si>
  <si>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</si>
  <si>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</si>
  <si>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</si>
  <si>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</si>
  <si>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</si>
  <si>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</si>
  <si>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</si>
  <si>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</si>
  <si>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</si>
  <si>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</si>
  <si>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</si>
  <si>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</si>
  <si>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</si>
  <si>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</si>
  <si>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</si>
  <si>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</si>
  <si>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</si>
  <si>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</si>
  <si>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</si>
  <si>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</si>
  <si>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</si>
  <si>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</si>
  <si>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</si>
  <si>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</si>
  <si>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</si>
  <si>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</si>
  <si>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</si>
  <si>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</si>
  <si>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</si>
  <si>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</si>
  <si>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</si>
  <si>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</si>
  <si>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</si>
  <si>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</si>
  <si>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</si>
  <si>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</si>
  <si>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</si>
  <si>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</si>
  <si>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</si>
  <si>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</si>
  <si>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</si>
  <si>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</si>
  <si>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</si>
  <si>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</si>
  <si>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</si>
  <si>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</si>
  <si>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</si>
  <si>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</si>
  <si>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</si>
  <si>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</si>
  <si>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</si>
  <si>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</si>
  <si>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</si>
  <si>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</si>
  <si>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</si>
  <si>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</si>
  <si>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</si>
  <si>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</si>
  <si>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</si>
  <si>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</si>
  <si>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</si>
  <si>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</si>
  <si>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</si>
  <si>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</si>
  <si>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</si>
  <si>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</si>
  <si>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</si>
  <si>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</si>
  <si>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</si>
  <si>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</si>
  <si>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</si>
  <si>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</si>
  <si>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</si>
  <si>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</si>
  <si>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</si>
  <si>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</si>
  <si>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</si>
  <si>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</si>
  <si>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</si>
  <si>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</si>
  <si>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</si>
  <si>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</si>
  <si>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</si>
  <si>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</si>
  <si>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</si>
  <si>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</si>
  <si>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</si>
  <si>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</si>
  <si>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</si>
  <si>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</si>
  <si>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</si>
  <si>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</si>
  <si>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</si>
  <si>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</si>
  <si>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</si>
  <si>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</si>
  <si>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</si>
  <si>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</si>
  <si>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</si>
  <si>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</si>
  <si>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</si>
  <si>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</si>
  <si>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</si>
  <si>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</si>
  <si>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</si>
  <si>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</si>
  <si>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</si>
  <si>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</si>
  <si>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</si>
  <si>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</si>
  <si>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</si>
  <si>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</si>
  <si>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</si>
  <si>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</si>
  <si>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</si>
  <si>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</si>
  <si>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</si>
  <si>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</si>
  <si>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</si>
  <si>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</si>
  <si>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</si>
  <si>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</si>
  <si>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</si>
  <si>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</si>
  <si>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</si>
  <si>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</si>
  <si>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</si>
  <si>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</si>
  <si>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</si>
  <si>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MOULTONBOROUGH SCHOOL DISTRICT</t>
  </si>
  <si>
    <t>4/2003</t>
  </si>
  <si>
    <t>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</si>
</sst>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369</v>
      </c>
      <c r="C2" s="21">
        <v>369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2033557.88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2109148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>
        <v>5645.52</v>
      </c>
      <c r="H13" s="18">
        <v>113232.95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>
        <v>8755.0499999999993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98128.26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2131686.1399999997</v>
      </c>
      <c r="G19" s="41">
        <f>SUM(G9:G18)</f>
        <v>14400.57</v>
      </c>
      <c r="H19" s="41">
        <f>SUM(H9:H18)</f>
        <v>113232.95</v>
      </c>
      <c r="I19" s="41">
        <f>SUM(I9:I18)</f>
        <v>0</v>
      </c>
      <c r="J19" s="41">
        <f>SUM(J9:J18)</f>
        <v>2109148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835090.54</v>
      </c>
      <c r="G22" s="18">
        <v>14400.57</v>
      </c>
      <c r="H22" s="18">
        <v>100854.44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11669.59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453107.65</v>
      </c>
      <c r="G30" s="18"/>
      <c r="H30" s="18">
        <v>12378.51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1299867.78</v>
      </c>
      <c r="G32" s="41">
        <f>SUM(G22:G31)</f>
        <v>14400.57</v>
      </c>
      <c r="H32" s="41">
        <f>SUM(H22:H31)</f>
        <v>113232.95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125000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0</v>
      </c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200000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2109148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431818.35600000003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75000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831818.35600000003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2109148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2131686.1359999999</v>
      </c>
      <c r="G52" s="41">
        <f>G51+G32</f>
        <v>14400.57</v>
      </c>
      <c r="H52" s="41">
        <f>H51+H32</f>
        <v>113232.95</v>
      </c>
      <c r="I52" s="41">
        <f>I51+I32</f>
        <v>0</v>
      </c>
      <c r="J52" s="41">
        <f>J51+J32</f>
        <v>2109148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6239892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6239892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30668.52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16873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47541.520000000004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2840.74</v>
      </c>
      <c r="G96" s="18"/>
      <c r="H96" s="18"/>
      <c r="I96" s="18"/>
      <c r="J96" s="18">
        <f>21884+13524+220</f>
        <v>35628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109885.52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134.19</v>
      </c>
      <c r="G110" s="18"/>
      <c r="H110" s="18"/>
      <c r="I110" s="18"/>
      <c r="J110" s="18">
        <f>1444683-220</f>
        <v>1444463</v>
      </c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2974.93</v>
      </c>
      <c r="G111" s="41">
        <f>SUM(G96:G110)</f>
        <v>109885.52</v>
      </c>
      <c r="H111" s="41">
        <f>SUM(H96:H110)</f>
        <v>0</v>
      </c>
      <c r="I111" s="41">
        <f>SUM(I96:I110)</f>
        <v>0</v>
      </c>
      <c r="J111" s="41">
        <f>SUM(J96:J110)</f>
        <v>1480091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6290408.4499999993</v>
      </c>
      <c r="G112" s="41">
        <f>G60+G111</f>
        <v>109885.52</v>
      </c>
      <c r="H112" s="41">
        <f>H60+H79+H94+H111</f>
        <v>0</v>
      </c>
      <c r="I112" s="41">
        <f>I60+I111</f>
        <v>0</v>
      </c>
      <c r="J112" s="41">
        <f>J60+J111</f>
        <v>1480091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/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6682342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6682342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302849.12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180363.33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2505.6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2637.53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485718.04999999993</v>
      </c>
      <c r="G136" s="41">
        <f>SUM(G123:G135)</f>
        <v>2637.53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7168060.0499999998</v>
      </c>
      <c r="G140" s="41">
        <f>G121+SUM(G136:G137)</f>
        <v>2637.53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149765.49</f>
        <v>149765.49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11071.34+32024.8+1200+12500</f>
        <v>56796.14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75847.66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4585+135789.23</f>
        <v>140374.23000000001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249143.88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249143.88</v>
      </c>
      <c r="G162" s="41">
        <f>SUM(G150:G161)</f>
        <v>75847.66</v>
      </c>
      <c r="H162" s="41">
        <f>SUM(H150:H161)</f>
        <v>346935.86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249143.88</v>
      </c>
      <c r="G169" s="41">
        <f>G147+G162+SUM(G163:G168)</f>
        <v>75847.66</v>
      </c>
      <c r="H169" s="41">
        <f>H147+H162+SUM(H163:H168)</f>
        <v>346935.86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25725.43</v>
      </c>
      <c r="H179" s="18"/>
      <c r="I179" s="18"/>
      <c r="J179" s="18">
        <v>75000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25725.43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25725.43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13707612.380000001</v>
      </c>
      <c r="G193" s="47">
        <f>G112+G140+G169+G192</f>
        <v>214096.14</v>
      </c>
      <c r="H193" s="47">
        <f>H112+H140+H169+H192</f>
        <v>346935.86</v>
      </c>
      <c r="I193" s="47">
        <f>I112+I140+I169+I192</f>
        <v>0</v>
      </c>
      <c r="J193" s="47">
        <f>J112+J140+J192</f>
        <v>1555091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1450340.83</v>
      </c>
      <c r="G197" s="18">
        <v>674871.4</v>
      </c>
      <c r="H197" s="18">
        <v>12473</v>
      </c>
      <c r="I197" s="18">
        <v>62818.720000000001</v>
      </c>
      <c r="J197" s="18">
        <v>6135.24</v>
      </c>
      <c r="K197" s="18"/>
      <c r="L197" s="19">
        <f>SUM(F197:K197)</f>
        <v>2206639.1900000004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596484.06000000006</v>
      </c>
      <c r="G198" s="18">
        <f>227475.67-13384</f>
        <v>214091.67</v>
      </c>
      <c r="H198" s="18">
        <f>265766.52-9525</f>
        <v>256241.52000000002</v>
      </c>
      <c r="I198" s="18">
        <f>9390.99+410.34</f>
        <v>9801.33</v>
      </c>
      <c r="J198" s="18">
        <v>287.17</v>
      </c>
      <c r="K198" s="18">
        <v>2370.27</v>
      </c>
      <c r="L198" s="19">
        <f>SUM(F198:K198)</f>
        <v>1079276.02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6386.4</v>
      </c>
      <c r="G199" s="18">
        <v>472.96</v>
      </c>
      <c r="H199" s="18"/>
      <c r="I199" s="18">
        <v>438.59</v>
      </c>
      <c r="J199" s="18"/>
      <c r="K199" s="18"/>
      <c r="L199" s="19">
        <f>SUM(F199:K199)</f>
        <v>7297.95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40291.5</v>
      </c>
      <c r="G200" s="18">
        <v>8272.9699999999993</v>
      </c>
      <c r="H200" s="18">
        <v>4462.22</v>
      </c>
      <c r="I200" s="18">
        <v>1225.74</v>
      </c>
      <c r="J200" s="18"/>
      <c r="K200" s="18">
        <v>75</v>
      </c>
      <c r="L200" s="19">
        <f>SUM(F200:K200)</f>
        <v>54327.43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133965</v>
      </c>
      <c r="G202" s="18">
        <v>48797.85</v>
      </c>
      <c r="H202" s="18"/>
      <c r="I202" s="18">
        <v>12273.36</v>
      </c>
      <c r="J202" s="18">
        <v>923.58</v>
      </c>
      <c r="K202" s="18">
        <v>329</v>
      </c>
      <c r="L202" s="19">
        <f t="shared" ref="L202:L208" si="0">SUM(F202:K202)</f>
        <v>196288.79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186547.98</v>
      </c>
      <c r="G203" s="18">
        <v>113739.29</v>
      </c>
      <c r="H203" s="18">
        <v>25452.15</v>
      </c>
      <c r="I203" s="18">
        <v>30179.49</v>
      </c>
      <c r="J203" s="18">
        <v>43829.07</v>
      </c>
      <c r="K203" s="18"/>
      <c r="L203" s="19">
        <f t="shared" si="0"/>
        <v>399747.98000000004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171007.57</v>
      </c>
      <c r="G204" s="18">
        <v>39341.769999999997</v>
      </c>
      <c r="H204" s="18">
        <v>15449.19</v>
      </c>
      <c r="I204" s="18">
        <v>24081.15</v>
      </c>
      <c r="J204" s="18"/>
      <c r="K204" s="18">
        <v>5835.16</v>
      </c>
      <c r="L204" s="19">
        <f t="shared" si="0"/>
        <v>255714.84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175252.41</v>
      </c>
      <c r="G205" s="18">
        <v>62825.07</v>
      </c>
      <c r="H205" s="18">
        <v>12713.89</v>
      </c>
      <c r="I205" s="18">
        <v>1312.53</v>
      </c>
      <c r="J205" s="18"/>
      <c r="K205" s="18"/>
      <c r="L205" s="19">
        <f t="shared" si="0"/>
        <v>252103.9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133686.57</v>
      </c>
      <c r="G207" s="18">
        <v>68669.97</v>
      </c>
      <c r="H207" s="18">
        <v>196419.83</v>
      </c>
      <c r="I207" s="18">
        <v>127048.73</v>
      </c>
      <c r="J207" s="18">
        <v>4752.78</v>
      </c>
      <c r="K207" s="18"/>
      <c r="L207" s="19">
        <f t="shared" si="0"/>
        <v>530577.88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203905.57+9525</f>
        <v>213430.57</v>
      </c>
      <c r="I208" s="18">
        <v>581.34</v>
      </c>
      <c r="J208" s="18"/>
      <c r="K208" s="18"/>
      <c r="L208" s="19">
        <f t="shared" si="0"/>
        <v>214011.91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2893962.32</v>
      </c>
      <c r="G211" s="41">
        <f t="shared" si="1"/>
        <v>1231082.95</v>
      </c>
      <c r="H211" s="41">
        <f t="shared" si="1"/>
        <v>736642.37000000011</v>
      </c>
      <c r="I211" s="41">
        <f t="shared" si="1"/>
        <v>269760.98000000004</v>
      </c>
      <c r="J211" s="41">
        <f t="shared" si="1"/>
        <v>55927.839999999997</v>
      </c>
      <c r="K211" s="41">
        <f t="shared" si="1"/>
        <v>8609.43</v>
      </c>
      <c r="L211" s="41">
        <f t="shared" si="1"/>
        <v>5195985.8900000015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562712.03</v>
      </c>
      <c r="G215" s="18">
        <v>257634.51</v>
      </c>
      <c r="H215" s="18">
        <v>1081.5</v>
      </c>
      <c r="I215" s="18">
        <v>32385.71</v>
      </c>
      <c r="J215" s="18">
        <v>5464.55</v>
      </c>
      <c r="K215" s="18"/>
      <c r="L215" s="19">
        <f>SUM(F215:K215)</f>
        <v>859278.3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364258.85</f>
        <v>364258.85</v>
      </c>
      <c r="G216" s="18">
        <v>140910.54</v>
      </c>
      <c r="H216" s="18">
        <f>106110.28-43.44</f>
        <v>106066.84</v>
      </c>
      <c r="I216" s="18">
        <v>3134.6</v>
      </c>
      <c r="J216" s="18">
        <v>2958</v>
      </c>
      <c r="K216" s="18"/>
      <c r="L216" s="19">
        <f>SUM(F216:K216)</f>
        <v>617328.82999999996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2043.59</v>
      </c>
      <c r="G217" s="18">
        <v>2497.38</v>
      </c>
      <c r="H217" s="18"/>
      <c r="I217" s="18"/>
      <c r="J217" s="18"/>
      <c r="K217" s="18"/>
      <c r="L217" s="19">
        <f>SUM(F217:K217)</f>
        <v>4540.97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25480</v>
      </c>
      <c r="G218" s="18">
        <v>4710.46</v>
      </c>
      <c r="H218" s="18">
        <v>6699</v>
      </c>
      <c r="I218" s="18">
        <v>14935.91</v>
      </c>
      <c r="J218" s="18"/>
      <c r="K218" s="18">
        <v>2879.74</v>
      </c>
      <c r="L218" s="19">
        <f>SUM(F218:K218)</f>
        <v>54705.109999999993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89128.31</v>
      </c>
      <c r="G220" s="18">
        <v>24248.68</v>
      </c>
      <c r="H220" s="18"/>
      <c r="I220" s="18">
        <v>914.48</v>
      </c>
      <c r="J220" s="18">
        <v>275.39</v>
      </c>
      <c r="K220" s="18"/>
      <c r="L220" s="19">
        <f t="shared" ref="L220:L226" si="2">SUM(F220:K220)</f>
        <v>114566.85999999999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120013.32</v>
      </c>
      <c r="G221" s="18">
        <v>49475.65</v>
      </c>
      <c r="H221" s="18">
        <v>8054.56</v>
      </c>
      <c r="I221" s="18">
        <v>10295.65</v>
      </c>
      <c r="J221" s="18">
        <v>16246.59</v>
      </c>
      <c r="K221" s="18">
        <v>1013</v>
      </c>
      <c r="L221" s="19">
        <f t="shared" si="2"/>
        <v>205098.77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76804.070000000007</v>
      </c>
      <c r="G222" s="18">
        <v>30120.69</v>
      </c>
      <c r="H222" s="18">
        <v>7025.17</v>
      </c>
      <c r="I222" s="18">
        <v>6681.4</v>
      </c>
      <c r="J222" s="18"/>
      <c r="K222" s="18">
        <v>1418.89</v>
      </c>
      <c r="L222" s="19">
        <f t="shared" si="2"/>
        <v>122050.22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72020.490000000005</v>
      </c>
      <c r="G223" s="18">
        <v>36121.9</v>
      </c>
      <c r="H223" s="18">
        <v>5448.8</v>
      </c>
      <c r="I223" s="18">
        <v>1111.71</v>
      </c>
      <c r="J223" s="18"/>
      <c r="K223" s="18"/>
      <c r="L223" s="19">
        <f t="shared" si="2"/>
        <v>114702.90000000002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91619.48</v>
      </c>
      <c r="G225" s="18">
        <v>48835</v>
      </c>
      <c r="H225" s="18">
        <v>148398</v>
      </c>
      <c r="I225" s="18">
        <f>66474.14-1305.02</f>
        <v>65169.120000000003</v>
      </c>
      <c r="J225" s="18">
        <v>962.38</v>
      </c>
      <c r="K225" s="18"/>
      <c r="L225" s="19">
        <f t="shared" si="2"/>
        <v>354983.98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f>79533.23+43.44</f>
        <v>79576.67</v>
      </c>
      <c r="I226" s="18">
        <v>464.37</v>
      </c>
      <c r="J226" s="18"/>
      <c r="K226" s="18"/>
      <c r="L226" s="19">
        <f t="shared" si="2"/>
        <v>80041.039999999994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1404080.1400000001</v>
      </c>
      <c r="G229" s="41">
        <f>SUM(G215:G228)</f>
        <v>594554.81000000006</v>
      </c>
      <c r="H229" s="41">
        <f>SUM(H215:H228)</f>
        <v>362350.54</v>
      </c>
      <c r="I229" s="41">
        <f>SUM(I215:I228)</f>
        <v>135092.95000000001</v>
      </c>
      <c r="J229" s="41">
        <f>SUM(J215:J228)</f>
        <v>25906.91</v>
      </c>
      <c r="K229" s="41">
        <f t="shared" si="3"/>
        <v>5311.63</v>
      </c>
      <c r="L229" s="41">
        <f t="shared" si="3"/>
        <v>2527296.98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1259175.82</v>
      </c>
      <c r="G233" s="18">
        <v>605666.81999999995</v>
      </c>
      <c r="H233" s="18">
        <v>2339.2399999999998</v>
      </c>
      <c r="I233" s="18">
        <v>51123.24</v>
      </c>
      <c r="J233" s="18">
        <v>8816.14</v>
      </c>
      <c r="K233" s="18"/>
      <c r="L233" s="19">
        <f>SUM(F233:K233)</f>
        <v>1927121.26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370093.51</v>
      </c>
      <c r="G234" s="18">
        <v>171873.72</v>
      </c>
      <c r="H234" s="18">
        <f>295452.93-29224.03</f>
        <v>266228.90000000002</v>
      </c>
      <c r="I234" s="18">
        <v>1649.09</v>
      </c>
      <c r="J234" s="18">
        <v>470.98</v>
      </c>
      <c r="K234" s="18">
        <v>2764.5</v>
      </c>
      <c r="L234" s="19">
        <f>SUM(F234:K234)</f>
        <v>813080.7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4342.8100000000004</v>
      </c>
      <c r="G235" s="18">
        <v>321.58</v>
      </c>
      <c r="H235" s="18">
        <v>30845.81</v>
      </c>
      <c r="I235" s="18">
        <v>12667.3</v>
      </c>
      <c r="J235" s="18"/>
      <c r="K235" s="18"/>
      <c r="L235" s="19">
        <f>SUM(F235:K235)</f>
        <v>48177.5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104248.75</v>
      </c>
      <c r="G236" s="18">
        <v>19533.060000000001</v>
      </c>
      <c r="H236" s="18">
        <v>20251</v>
      </c>
      <c r="I236" s="18">
        <v>47433.279999999999</v>
      </c>
      <c r="J236" s="18"/>
      <c r="K236" s="18">
        <v>11858.08</v>
      </c>
      <c r="L236" s="19">
        <f>SUM(F236:K236)</f>
        <v>203324.16999999998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121610.05</v>
      </c>
      <c r="G238" s="18">
        <v>67365.86</v>
      </c>
      <c r="H238" s="18">
        <v>149.36000000000001</v>
      </c>
      <c r="I238" s="18">
        <v>4304.8500000000004</v>
      </c>
      <c r="J238" s="18"/>
      <c r="K238" s="18"/>
      <c r="L238" s="19">
        <f t="shared" ref="L238:L244" si="4">SUM(F238:K238)</f>
        <v>193430.12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190899.41</v>
      </c>
      <c r="G239" s="18">
        <v>100677.56</v>
      </c>
      <c r="H239" s="18">
        <v>34464.44</v>
      </c>
      <c r="I239" s="18">
        <v>26458.07</v>
      </c>
      <c r="J239" s="18">
        <v>42279.59</v>
      </c>
      <c r="K239" s="18">
        <v>4490</v>
      </c>
      <c r="L239" s="19">
        <f t="shared" si="4"/>
        <v>399269.06999999995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115781.91</v>
      </c>
      <c r="G240" s="18">
        <v>46872.49</v>
      </c>
      <c r="H240" s="18">
        <v>10577.14</v>
      </c>
      <c r="I240" s="18">
        <v>12435.68</v>
      </c>
      <c r="J240" s="18"/>
      <c r="K240" s="18">
        <v>2842.41</v>
      </c>
      <c r="L240" s="19">
        <f t="shared" si="4"/>
        <v>188509.62999999998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204292.03</v>
      </c>
      <c r="G241" s="18">
        <v>82424.56</v>
      </c>
      <c r="H241" s="18">
        <v>15808.7</v>
      </c>
      <c r="I241" s="18">
        <v>654.29999999999995</v>
      </c>
      <c r="J241" s="18"/>
      <c r="K241" s="18">
        <v>17712.349999999999</v>
      </c>
      <c r="L241" s="19">
        <f t="shared" si="4"/>
        <v>320891.93999999994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209774.16</v>
      </c>
      <c r="G243" s="18">
        <v>83912.83</v>
      </c>
      <c r="H243" s="18">
        <v>234813.95</v>
      </c>
      <c r="I243" s="18">
        <v>132837.81</v>
      </c>
      <c r="J243" s="18">
        <v>1734.81</v>
      </c>
      <c r="K243" s="18"/>
      <c r="L243" s="19">
        <f t="shared" si="4"/>
        <v>663073.56000000006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248269.23+29224.03</f>
        <v>277493.26</v>
      </c>
      <c r="I244" s="18">
        <v>913.27</v>
      </c>
      <c r="J244" s="18"/>
      <c r="K244" s="18"/>
      <c r="L244" s="19">
        <f t="shared" si="4"/>
        <v>278406.53000000003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2580218.4500000002</v>
      </c>
      <c r="G247" s="41">
        <f t="shared" si="5"/>
        <v>1178648.48</v>
      </c>
      <c r="H247" s="41">
        <f t="shared" si="5"/>
        <v>892971.8</v>
      </c>
      <c r="I247" s="41">
        <f t="shared" si="5"/>
        <v>290476.89</v>
      </c>
      <c r="J247" s="41">
        <f t="shared" si="5"/>
        <v>53301.51999999999</v>
      </c>
      <c r="K247" s="41">
        <f t="shared" si="5"/>
        <v>39667.339999999997</v>
      </c>
      <c r="L247" s="41">
        <f t="shared" si="5"/>
        <v>5035284.4799999995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>
        <v>38284.53</v>
      </c>
      <c r="G253" s="18">
        <v>2928.79</v>
      </c>
      <c r="H253" s="18">
        <v>374</v>
      </c>
      <c r="I253" s="18">
        <v>2451.94</v>
      </c>
      <c r="J253" s="18">
        <v>13157.79</v>
      </c>
      <c r="K253" s="18"/>
      <c r="L253" s="19">
        <f t="shared" si="6"/>
        <v>57197.05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38284.53</v>
      </c>
      <c r="G256" s="41">
        <f t="shared" si="7"/>
        <v>2928.79</v>
      </c>
      <c r="H256" s="41">
        <f t="shared" si="7"/>
        <v>374</v>
      </c>
      <c r="I256" s="41">
        <f t="shared" si="7"/>
        <v>2451.94</v>
      </c>
      <c r="J256" s="41">
        <f t="shared" si="7"/>
        <v>13157.79</v>
      </c>
      <c r="K256" s="41">
        <f t="shared" si="7"/>
        <v>0</v>
      </c>
      <c r="L256" s="41">
        <f>SUM(F256:K256)</f>
        <v>57197.05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6916545.4400000004</v>
      </c>
      <c r="G257" s="41">
        <f t="shared" si="8"/>
        <v>3007215.0300000003</v>
      </c>
      <c r="H257" s="41">
        <f t="shared" si="8"/>
        <v>1992338.7100000002</v>
      </c>
      <c r="I257" s="41">
        <f t="shared" si="8"/>
        <v>697782.76</v>
      </c>
      <c r="J257" s="41">
        <f t="shared" si="8"/>
        <v>148294.06</v>
      </c>
      <c r="K257" s="41">
        <f t="shared" si="8"/>
        <v>53588.399999999994</v>
      </c>
      <c r="L257" s="41">
        <f t="shared" si="8"/>
        <v>12815764.400000002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947732</v>
      </c>
      <c r="L260" s="19">
        <f>SUM(F260:K260)</f>
        <v>947732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7280.09</v>
      </c>
      <c r="L261" s="19">
        <f>SUM(F261:K261)</f>
        <v>7280.09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25725.43</v>
      </c>
      <c r="L263" s="19">
        <f>SUM(F263:K263)</f>
        <v>25725.43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75000</v>
      </c>
      <c r="L266" s="19">
        <f t="shared" si="9"/>
        <v>75000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1055737.52</v>
      </c>
      <c r="L270" s="41">
        <f t="shared" si="9"/>
        <v>1055737.52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6916545.4400000004</v>
      </c>
      <c r="G271" s="42">
        <f t="shared" si="11"/>
        <v>3007215.0300000003</v>
      </c>
      <c r="H271" s="42">
        <f t="shared" si="11"/>
        <v>1992338.7100000002</v>
      </c>
      <c r="I271" s="42">
        <f t="shared" si="11"/>
        <v>697782.76</v>
      </c>
      <c r="J271" s="42">
        <f t="shared" si="11"/>
        <v>148294.06</v>
      </c>
      <c r="K271" s="42">
        <f t="shared" si="11"/>
        <v>1109325.92</v>
      </c>
      <c r="L271" s="42">
        <f t="shared" si="11"/>
        <v>13871501.920000002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114972.92</v>
      </c>
      <c r="G276" s="18">
        <v>33274.239999999998</v>
      </c>
      <c r="H276" s="18">
        <v>46035.02</v>
      </c>
      <c r="I276" s="18"/>
      <c r="J276" s="18"/>
      <c r="K276" s="18"/>
      <c r="L276" s="19">
        <f>SUM(F276:K276)</f>
        <v>194282.18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2424.1</v>
      </c>
      <c r="G277" s="18"/>
      <c r="H277" s="18">
        <v>137950.13</v>
      </c>
      <c r="I277" s="18"/>
      <c r="J277" s="18"/>
      <c r="K277" s="18"/>
      <c r="L277" s="19">
        <f>SUM(F277:K277)</f>
        <v>140374.23000000001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>
        <v>12279.45</v>
      </c>
      <c r="J282" s="18"/>
      <c r="K282" s="18"/>
      <c r="L282" s="19">
        <f t="shared" si="12"/>
        <v>12279.45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117397.02</v>
      </c>
      <c r="G290" s="42">
        <f t="shared" si="13"/>
        <v>33274.239999999998</v>
      </c>
      <c r="H290" s="42">
        <f t="shared" si="13"/>
        <v>183985.15</v>
      </c>
      <c r="I290" s="42">
        <f t="shared" si="13"/>
        <v>12279.45</v>
      </c>
      <c r="J290" s="42">
        <f t="shared" si="13"/>
        <v>0</v>
      </c>
      <c r="K290" s="42">
        <f t="shared" si="13"/>
        <v>0</v>
      </c>
      <c r="L290" s="41">
        <f t="shared" si="13"/>
        <v>346935.86000000004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117397.02</v>
      </c>
      <c r="G338" s="41">
        <f t="shared" si="20"/>
        <v>33274.239999999998</v>
      </c>
      <c r="H338" s="41">
        <f t="shared" si="20"/>
        <v>183985.15</v>
      </c>
      <c r="I338" s="41">
        <f t="shared" si="20"/>
        <v>12279.45</v>
      </c>
      <c r="J338" s="41">
        <f t="shared" si="20"/>
        <v>0</v>
      </c>
      <c r="K338" s="41">
        <f t="shared" si="20"/>
        <v>0</v>
      </c>
      <c r="L338" s="41">
        <f t="shared" si="20"/>
        <v>346935.86000000004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117397.02</v>
      </c>
      <c r="G352" s="41">
        <f>G338</f>
        <v>33274.239999999998</v>
      </c>
      <c r="H352" s="41">
        <f>H338</f>
        <v>183985.15</v>
      </c>
      <c r="I352" s="41">
        <f>I338</f>
        <v>12279.45</v>
      </c>
      <c r="J352" s="41">
        <f>J338</f>
        <v>0</v>
      </c>
      <c r="K352" s="47">
        <f>K338+K351</f>
        <v>0</v>
      </c>
      <c r="L352" s="41">
        <f>L338+L351</f>
        <v>346935.86000000004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106582</v>
      </c>
      <c r="I358" s="18"/>
      <c r="J358" s="18"/>
      <c r="K358" s="18"/>
      <c r="L358" s="13">
        <f>SUM(F358:K358)</f>
        <v>106582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>
        <v>36237.879999999997</v>
      </c>
      <c r="I359" s="18"/>
      <c r="J359" s="18"/>
      <c r="K359" s="18"/>
      <c r="L359" s="19">
        <f>SUM(F359:K359)</f>
        <v>36237.879999999997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>
        <v>70344.12</v>
      </c>
      <c r="I360" s="18"/>
      <c r="J360" s="18"/>
      <c r="K360" s="18"/>
      <c r="L360" s="19">
        <f>SUM(F360:K360)</f>
        <v>70344.12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213164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213164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>
        <v>220</v>
      </c>
      <c r="I395" s="18">
        <f>1271296+173167</f>
        <v>1444463</v>
      </c>
      <c r="J395" s="24" t="s">
        <v>286</v>
      </c>
      <c r="K395" s="24" t="s">
        <v>286</v>
      </c>
      <c r="L395" s="56">
        <f t="shared" ref="L395:L400" si="26">SUM(F395:K395)</f>
        <v>1444683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75000</v>
      </c>
      <c r="H396" s="18">
        <f>10383+7241</f>
        <v>17624</v>
      </c>
      <c r="I396" s="18"/>
      <c r="J396" s="24" t="s">
        <v>286</v>
      </c>
      <c r="K396" s="24" t="s">
        <v>286</v>
      </c>
      <c r="L396" s="56">
        <f t="shared" si="26"/>
        <v>92624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f>9525+5448</f>
        <v>14973</v>
      </c>
      <c r="I397" s="18"/>
      <c r="J397" s="24" t="s">
        <v>286</v>
      </c>
      <c r="K397" s="24" t="s">
        <v>286</v>
      </c>
      <c r="L397" s="56">
        <f t="shared" si="26"/>
        <v>14973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f>570+239+1406+596</f>
        <v>2811</v>
      </c>
      <c r="I400" s="18"/>
      <c r="J400" s="24" t="s">
        <v>286</v>
      </c>
      <c r="K400" s="24" t="s">
        <v>286</v>
      </c>
      <c r="L400" s="56">
        <f t="shared" si="26"/>
        <v>2811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75000</v>
      </c>
      <c r="H401" s="47">
        <f>SUM(H395:H400)</f>
        <v>35628</v>
      </c>
      <c r="I401" s="47">
        <f>SUM(I395:I400)</f>
        <v>1444463</v>
      </c>
      <c r="J401" s="45" t="s">
        <v>286</v>
      </c>
      <c r="K401" s="45" t="s">
        <v>286</v>
      </c>
      <c r="L401" s="47">
        <f>SUM(L395:L400)</f>
        <v>1555091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35628</v>
      </c>
      <c r="I408" s="47">
        <f>I393+I401+I407</f>
        <v>1444463</v>
      </c>
      <c r="J408" s="24" t="s">
        <v>286</v>
      </c>
      <c r="K408" s="24" t="s">
        <v>286</v>
      </c>
      <c r="L408" s="47">
        <f>L393+L401+L407</f>
        <v>1555091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>
        <v>1476188</v>
      </c>
      <c r="H421" s="18"/>
      <c r="I421" s="18"/>
      <c r="J421" s="18"/>
      <c r="K421" s="18"/>
      <c r="L421" s="56">
        <f t="shared" ref="L421:L426" si="29">SUM(F421:K421)</f>
        <v>1476188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>
        <v>2323</v>
      </c>
      <c r="H426" s="18"/>
      <c r="I426" s="18"/>
      <c r="J426" s="18"/>
      <c r="K426" s="18"/>
      <c r="L426" s="56">
        <f t="shared" si="29"/>
        <v>2323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1478511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1478511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1478511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1478511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f>1009554+1099594</f>
        <v>2109148</v>
      </c>
      <c r="H440" s="18"/>
      <c r="I440" s="56">
        <f t="shared" si="33"/>
        <v>2109148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2109148</v>
      </c>
      <c r="H446" s="13">
        <f>SUM(H439:H445)</f>
        <v>0</v>
      </c>
      <c r="I446" s="13">
        <f>SUM(I439:I445)</f>
        <v>2109148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2109148</v>
      </c>
      <c r="H459" s="18"/>
      <c r="I459" s="56">
        <f t="shared" si="34"/>
        <v>2109148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2109148</v>
      </c>
      <c r="H460" s="83">
        <f>SUM(H454:H459)</f>
        <v>0</v>
      </c>
      <c r="I460" s="83">
        <f>SUM(I454:I459)</f>
        <v>2109148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2109148</v>
      </c>
      <c r="H461" s="42">
        <f>H452+H460</f>
        <v>0</v>
      </c>
      <c r="I461" s="42">
        <f>I452+I460</f>
        <v>2109148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f>1045707.9-50000</f>
        <v>995707.9</v>
      </c>
      <c r="G465" s="18">
        <v>-932.14</v>
      </c>
      <c r="H465" s="18"/>
      <c r="I465" s="18"/>
      <c r="J465" s="18">
        <v>2032568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13707612.380000001</v>
      </c>
      <c r="G468" s="18">
        <v>214096.14</v>
      </c>
      <c r="H468" s="18">
        <v>346935.86</v>
      </c>
      <c r="I468" s="18"/>
      <c r="J468" s="18">
        <f>1444683+144000-69000+21884+13524</f>
        <v>1555091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13707612.380000001</v>
      </c>
      <c r="G470" s="53">
        <f>SUM(G468:G469)</f>
        <v>214096.14</v>
      </c>
      <c r="H470" s="53">
        <f>SUM(H468:H469)</f>
        <v>346935.86</v>
      </c>
      <c r="I470" s="53">
        <f>SUM(I468:I469)</f>
        <v>0</v>
      </c>
      <c r="J470" s="53">
        <f>SUM(J468:J469)</f>
        <v>1555091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13871501.92</v>
      </c>
      <c r="G472" s="18">
        <v>213164</v>
      </c>
      <c r="H472" s="18">
        <v>346935.86</v>
      </c>
      <c r="I472" s="18"/>
      <c r="J472" s="18">
        <f>1476188+2323</f>
        <v>1478511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13871501.92</v>
      </c>
      <c r="G474" s="53">
        <f>SUM(G472:G473)</f>
        <v>213164</v>
      </c>
      <c r="H474" s="53">
        <f>SUM(H472:H473)</f>
        <v>346935.86</v>
      </c>
      <c r="I474" s="53">
        <f>SUM(I472:I473)</f>
        <v>0</v>
      </c>
      <c r="J474" s="53">
        <f>SUM(J472:J473)</f>
        <v>1478511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831818.36000000127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2109148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15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11362231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3.98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976336</v>
      </c>
      <c r="G495" s="18"/>
      <c r="H495" s="18"/>
      <c r="I495" s="18"/>
      <c r="J495" s="18"/>
      <c r="K495" s="53">
        <f>SUM(F495:J495)</f>
        <v>976336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947732</v>
      </c>
      <c r="G498" s="204"/>
      <c r="H498" s="204"/>
      <c r="I498" s="204"/>
      <c r="J498" s="204"/>
      <c r="K498" s="205">
        <f t="shared" si="35"/>
        <v>947732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7280.09</v>
      </c>
      <c r="G499" s="18"/>
      <c r="H499" s="18"/>
      <c r="I499" s="18"/>
      <c r="J499" s="18"/>
      <c r="K499" s="53">
        <f t="shared" si="35"/>
        <v>7280.09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955012.09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955012.09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0</v>
      </c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0</v>
      </c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596484.06000000006</v>
      </c>
      <c r="G521" s="18">
        <v>214091.67</v>
      </c>
      <c r="H521" s="18">
        <v>16161.04</v>
      </c>
      <c r="I521" s="18">
        <v>9801.33</v>
      </c>
      <c r="J521" s="18">
        <v>287.17</v>
      </c>
      <c r="K521" s="18">
        <v>2370.27</v>
      </c>
      <c r="L521" s="88">
        <f>SUM(F521:K521)</f>
        <v>839195.54000000015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364258.85</v>
      </c>
      <c r="G522" s="18">
        <v>140910.54</v>
      </c>
      <c r="H522" s="18">
        <v>91857.17</v>
      </c>
      <c r="I522" s="18">
        <v>3134.6</v>
      </c>
      <c r="J522" s="18">
        <v>2958</v>
      </c>
      <c r="K522" s="18"/>
      <c r="L522" s="88">
        <f>SUM(F522:K522)</f>
        <v>603119.16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370093.51</v>
      </c>
      <c r="G523" s="18">
        <v>171873.72</v>
      </c>
      <c r="H523" s="18">
        <v>235279.73</v>
      </c>
      <c r="I523" s="18">
        <v>1649.09</v>
      </c>
      <c r="J523" s="18">
        <v>470.98</v>
      </c>
      <c r="K523" s="18">
        <v>2764.5</v>
      </c>
      <c r="L523" s="88">
        <f>SUM(F523:K523)</f>
        <v>782131.52999999991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1330836.42</v>
      </c>
      <c r="G524" s="108">
        <f t="shared" ref="G524:L524" si="36">SUM(G521:G523)</f>
        <v>526875.93000000005</v>
      </c>
      <c r="H524" s="108">
        <f t="shared" si="36"/>
        <v>343297.94</v>
      </c>
      <c r="I524" s="108">
        <f t="shared" si="36"/>
        <v>14585.02</v>
      </c>
      <c r="J524" s="108">
        <f t="shared" si="36"/>
        <v>3716.15</v>
      </c>
      <c r="K524" s="108">
        <f t="shared" si="36"/>
        <v>5134.7700000000004</v>
      </c>
      <c r="L524" s="89">
        <f t="shared" si="36"/>
        <v>2224446.23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v>240080.48</v>
      </c>
      <c r="I526" s="18"/>
      <c r="J526" s="18"/>
      <c r="K526" s="18"/>
      <c r="L526" s="88">
        <f>SUM(F526:K526)</f>
        <v>240080.48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>
        <v>14209.7</v>
      </c>
      <c r="I527" s="18"/>
      <c r="J527" s="18"/>
      <c r="K527" s="18"/>
      <c r="L527" s="88">
        <f>SUM(F527:K527)</f>
        <v>14209.7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v>30948.27</v>
      </c>
      <c r="I528" s="18"/>
      <c r="J528" s="18"/>
      <c r="K528" s="18"/>
      <c r="L528" s="88">
        <f>SUM(F528:K528)</f>
        <v>30948.27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285238.45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285238.45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74160.399999999994</v>
      </c>
      <c r="G531" s="18">
        <v>31129.88</v>
      </c>
      <c r="H531" s="18"/>
      <c r="I531" s="18"/>
      <c r="J531" s="18"/>
      <c r="K531" s="18"/>
      <c r="L531" s="88">
        <f>SUM(F531:K531)</f>
        <v>105290.28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25214.53</v>
      </c>
      <c r="G532" s="18">
        <v>10584.16</v>
      </c>
      <c r="H532" s="18"/>
      <c r="I532" s="18"/>
      <c r="J532" s="18"/>
      <c r="K532" s="18"/>
      <c r="L532" s="88">
        <f>SUM(F532:K532)</f>
        <v>35798.69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48945.86</v>
      </c>
      <c r="G533" s="18">
        <v>20545.72</v>
      </c>
      <c r="H533" s="18"/>
      <c r="I533" s="18"/>
      <c r="J533" s="18"/>
      <c r="K533" s="18"/>
      <c r="L533" s="88">
        <f>SUM(F533:K533)</f>
        <v>69491.58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148320.78999999998</v>
      </c>
      <c r="G534" s="89">
        <f t="shared" ref="G534:L534" si="38">SUM(G531:G533)</f>
        <v>62259.76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210580.55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9525</v>
      </c>
      <c r="I541" s="18"/>
      <c r="J541" s="18"/>
      <c r="K541" s="18"/>
      <c r="L541" s="88">
        <f>SUM(F541:K541)</f>
        <v>9525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43.44</v>
      </c>
      <c r="I542" s="18"/>
      <c r="J542" s="18"/>
      <c r="K542" s="18"/>
      <c r="L542" s="88">
        <f>SUM(F542:K542)</f>
        <v>43.44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29224.03</v>
      </c>
      <c r="I543" s="18"/>
      <c r="J543" s="18"/>
      <c r="K543" s="18"/>
      <c r="L543" s="88">
        <f>SUM(F543:K543)</f>
        <v>29224.03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38792.47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38792.47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1479157.21</v>
      </c>
      <c r="G545" s="89">
        <f t="shared" ref="G545:L545" si="41">G524+G529+G534+G539+G544</f>
        <v>589135.69000000006</v>
      </c>
      <c r="H545" s="89">
        <f t="shared" si="41"/>
        <v>667328.86</v>
      </c>
      <c r="I545" s="89">
        <f t="shared" si="41"/>
        <v>14585.02</v>
      </c>
      <c r="J545" s="89">
        <f t="shared" si="41"/>
        <v>3716.15</v>
      </c>
      <c r="K545" s="89">
        <f t="shared" si="41"/>
        <v>5134.7700000000004</v>
      </c>
      <c r="L545" s="89">
        <f t="shared" si="41"/>
        <v>2759057.7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839195.54000000015</v>
      </c>
      <c r="G549" s="87">
        <f>L526</f>
        <v>240080.48</v>
      </c>
      <c r="H549" s="87">
        <f>L531</f>
        <v>105290.28</v>
      </c>
      <c r="I549" s="87">
        <f>L536</f>
        <v>0</v>
      </c>
      <c r="J549" s="87">
        <f>L541</f>
        <v>9525</v>
      </c>
      <c r="K549" s="87">
        <f>SUM(F549:J549)</f>
        <v>1194091.3000000003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603119.16</v>
      </c>
      <c r="G550" s="87">
        <f>L527</f>
        <v>14209.7</v>
      </c>
      <c r="H550" s="87">
        <f>L532</f>
        <v>35798.69</v>
      </c>
      <c r="I550" s="87">
        <f>L537</f>
        <v>0</v>
      </c>
      <c r="J550" s="87">
        <f>L542</f>
        <v>43.44</v>
      </c>
      <c r="K550" s="87">
        <f>SUM(F550:J550)</f>
        <v>653170.99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782131.52999999991</v>
      </c>
      <c r="G551" s="87">
        <f>L528</f>
        <v>30948.27</v>
      </c>
      <c r="H551" s="87">
        <f>L533</f>
        <v>69491.58</v>
      </c>
      <c r="I551" s="87">
        <f>L538</f>
        <v>0</v>
      </c>
      <c r="J551" s="87">
        <f>L543</f>
        <v>29224.03</v>
      </c>
      <c r="K551" s="87">
        <f>SUM(F551:J551)</f>
        <v>911795.40999999992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2224446.23</v>
      </c>
      <c r="G552" s="89">
        <f t="shared" si="42"/>
        <v>285238.45</v>
      </c>
      <c r="H552" s="89">
        <f t="shared" si="42"/>
        <v>210580.55</v>
      </c>
      <c r="I552" s="89">
        <f t="shared" si="42"/>
        <v>0</v>
      </c>
      <c r="J552" s="89">
        <f t="shared" si="42"/>
        <v>38792.47</v>
      </c>
      <c r="K552" s="89">
        <f t="shared" si="42"/>
        <v>2759057.7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42134.3</v>
      </c>
      <c r="G563" s="18">
        <v>36618.36</v>
      </c>
      <c r="H563" s="18"/>
      <c r="I563" s="18">
        <v>871.93</v>
      </c>
      <c r="J563" s="18"/>
      <c r="K563" s="18"/>
      <c r="L563" s="88">
        <f>SUM(F563:K563)</f>
        <v>79624.59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4342.8100000000004</v>
      </c>
      <c r="G564" s="18">
        <v>321.58</v>
      </c>
      <c r="H564" s="18"/>
      <c r="I564" s="18"/>
      <c r="J564" s="18"/>
      <c r="K564" s="18"/>
      <c r="L564" s="88">
        <f>SUM(F564:K564)</f>
        <v>4664.3900000000003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46477.11</v>
      </c>
      <c r="G565" s="89">
        <f t="shared" si="44"/>
        <v>36939.94</v>
      </c>
      <c r="H565" s="89">
        <f t="shared" si="44"/>
        <v>0</v>
      </c>
      <c r="I565" s="89">
        <f t="shared" si="44"/>
        <v>871.93</v>
      </c>
      <c r="J565" s="89">
        <f t="shared" si="44"/>
        <v>0</v>
      </c>
      <c r="K565" s="89">
        <f t="shared" si="44"/>
        <v>0</v>
      </c>
      <c r="L565" s="89">
        <f t="shared" si="44"/>
        <v>84288.98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46477.11</v>
      </c>
      <c r="G571" s="89">
        <f t="shared" ref="G571:L571" si="46">G560+G565+G570</f>
        <v>36939.94</v>
      </c>
      <c r="H571" s="89">
        <f t="shared" si="46"/>
        <v>0</v>
      </c>
      <c r="I571" s="89">
        <f t="shared" si="46"/>
        <v>871.93</v>
      </c>
      <c r="J571" s="89">
        <f t="shared" si="46"/>
        <v>0</v>
      </c>
      <c r="K571" s="89">
        <f t="shared" si="46"/>
        <v>0</v>
      </c>
      <c r="L571" s="89">
        <f t="shared" si="46"/>
        <v>84288.98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>
        <v>8412.2999999999993</v>
      </c>
      <c r="H582" s="18">
        <v>224606.87</v>
      </c>
      <c r="I582" s="87">
        <f t="shared" si="47"/>
        <v>233019.16999999998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30845.81</v>
      </c>
      <c r="I584" s="87">
        <f t="shared" si="47"/>
        <v>30845.81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193685.62</v>
      </c>
      <c r="I591" s="18">
        <v>65795.320000000007</v>
      </c>
      <c r="J591" s="18">
        <v>144360.79999999999</v>
      </c>
      <c r="K591" s="104">
        <f t="shared" ref="K591:K597" si="48">SUM(H591:J591)</f>
        <v>403841.74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9525</v>
      </c>
      <c r="I592" s="18">
        <v>43.44</v>
      </c>
      <c r="J592" s="18">
        <v>29224.03</v>
      </c>
      <c r="K592" s="104">
        <f t="shared" si="48"/>
        <v>38792.47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55770.98</v>
      </c>
      <c r="K593" s="104">
        <f t="shared" si="48"/>
        <v>55770.98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9335</v>
      </c>
      <c r="J594" s="18">
        <v>45393.58</v>
      </c>
      <c r="K594" s="104">
        <f t="shared" si="48"/>
        <v>54728.58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10801.29</v>
      </c>
      <c r="I595" s="18">
        <v>4867.28</v>
      </c>
      <c r="J595" s="18">
        <v>3657.14</v>
      </c>
      <c r="K595" s="104">
        <f t="shared" si="48"/>
        <v>19325.71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214011.91</v>
      </c>
      <c r="I598" s="108">
        <f>SUM(I591:I597)</f>
        <v>80041.040000000008</v>
      </c>
      <c r="J598" s="108">
        <f>SUM(J591:J597)</f>
        <v>278406.53000000003</v>
      </c>
      <c r="K598" s="108">
        <f>SUM(K591:K597)</f>
        <v>572459.47999999986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55927.839999999997</v>
      </c>
      <c r="I604" s="18">
        <v>33265.72</v>
      </c>
      <c r="J604" s="18">
        <v>59100.5</v>
      </c>
      <c r="K604" s="104">
        <f>SUM(H604:J604)</f>
        <v>148294.06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55927.839999999997</v>
      </c>
      <c r="I605" s="108">
        <f>SUM(I602:I604)</f>
        <v>33265.72</v>
      </c>
      <c r="J605" s="108">
        <f>SUM(J602:J604)</f>
        <v>59100.5</v>
      </c>
      <c r="K605" s="108">
        <f>SUM(K602:K604)</f>
        <v>148294.06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2131686.1399999997</v>
      </c>
      <c r="H617" s="109">
        <f>SUM(F52)</f>
        <v>2131686.1359999999</v>
      </c>
      <c r="I617" s="121" t="s">
        <v>885</v>
      </c>
      <c r="J617" s="109">
        <f>G617-H617</f>
        <v>3.9999997243285179E-3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14400.57</v>
      </c>
      <c r="H618" s="109">
        <f>SUM(G52)</f>
        <v>14400.57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113232.95</v>
      </c>
      <c r="H619" s="109">
        <f>SUM(H52)</f>
        <v>113232.95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2109148</v>
      </c>
      <c r="H621" s="109">
        <f>SUM(J52)</f>
        <v>2109148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831818.35600000003</v>
      </c>
      <c r="H622" s="109">
        <f>F476</f>
        <v>831818.36000000127</v>
      </c>
      <c r="I622" s="121" t="s">
        <v>101</v>
      </c>
      <c r="J622" s="109">
        <f t="shared" ref="J622:J655" si="50">G622-H622</f>
        <v>-4.0000012377277017E-3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2109148</v>
      </c>
      <c r="H626" s="109">
        <f>J476</f>
        <v>2109148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13707612.380000001</v>
      </c>
      <c r="H627" s="104">
        <f>SUM(F468)</f>
        <v>13707612.380000001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214096.14</v>
      </c>
      <c r="H628" s="104">
        <f>SUM(G468)</f>
        <v>214096.14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346935.86</v>
      </c>
      <c r="H629" s="104">
        <f>SUM(H468)</f>
        <v>346935.86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1555091</v>
      </c>
      <c r="H631" s="104">
        <f>SUM(J468)</f>
        <v>1555091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13871501.920000002</v>
      </c>
      <c r="H632" s="104">
        <f>SUM(F472)</f>
        <v>13871501.92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346935.86000000004</v>
      </c>
      <c r="H633" s="104">
        <f>SUM(H472)</f>
        <v>346935.86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213164</v>
      </c>
      <c r="H635" s="104">
        <f>SUM(G472)</f>
        <v>213164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1555091</v>
      </c>
      <c r="H637" s="164">
        <f>SUM(J468)</f>
        <v>1555091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1478511</v>
      </c>
      <c r="H638" s="164">
        <f>SUM(J472)</f>
        <v>1478511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2109148</v>
      </c>
      <c r="H640" s="104">
        <f>SUM(G461)</f>
        <v>2109148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2109148</v>
      </c>
      <c r="H642" s="104">
        <f>SUM(I461)</f>
        <v>2109148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35628</v>
      </c>
      <c r="H644" s="104">
        <f>H408</f>
        <v>35628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75000</v>
      </c>
      <c r="H645" s="104">
        <f>G408</f>
        <v>75000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1555091</v>
      </c>
      <c r="H646" s="104">
        <f>L408</f>
        <v>1555091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572459.47999999986</v>
      </c>
      <c r="H647" s="104">
        <f>L208+L226+L244</f>
        <v>572459.48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148294.06</v>
      </c>
      <c r="H648" s="104">
        <f>(J257+J338)-(J255+J336)</f>
        <v>148294.06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214011.91</v>
      </c>
      <c r="H649" s="104">
        <f>H598</f>
        <v>214011.91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80041.039999999994</v>
      </c>
      <c r="H650" s="104">
        <f>I598</f>
        <v>80041.040000000008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278406.53000000003</v>
      </c>
      <c r="H651" s="104">
        <f>J598</f>
        <v>278406.53000000003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25725.43</v>
      </c>
      <c r="H652" s="104">
        <f>K263+K345</f>
        <v>25725.43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75000</v>
      </c>
      <c r="H655" s="104">
        <f>K266+K347</f>
        <v>75000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5649503.7500000019</v>
      </c>
      <c r="G660" s="19">
        <f>(L229+L309+L359)</f>
        <v>2563534.86</v>
      </c>
      <c r="H660" s="19">
        <f>(L247+L328+L360)</f>
        <v>5105628.5999999996</v>
      </c>
      <c r="I660" s="19">
        <f>SUM(F660:H660)</f>
        <v>13318667.210000001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54942.76</v>
      </c>
      <c r="G661" s="19">
        <f>(L359/IF(SUM(L358:L360)=0,1,SUM(L358:L360))*(SUM(G97:G110)))</f>
        <v>18680.538399999998</v>
      </c>
      <c r="H661" s="19">
        <f>(L360/IF(SUM(L358:L360)=0,1,SUM(L358:L360))*(SUM(G97:G110)))</f>
        <v>36262.221599999997</v>
      </c>
      <c r="I661" s="19">
        <f>SUM(F661:H661)</f>
        <v>109885.51999999999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214011.91</v>
      </c>
      <c r="G662" s="19">
        <f>(L226+L306)-(J226+J306)</f>
        <v>80041.039999999994</v>
      </c>
      <c r="H662" s="19">
        <f>(L244+L325)-(J244+J325)</f>
        <v>278406.53000000003</v>
      </c>
      <c r="I662" s="19">
        <f>SUM(F662:H662)</f>
        <v>572459.48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55927.839999999997</v>
      </c>
      <c r="G663" s="199">
        <f>SUM(G575:G587)+SUM(I602:I604)+L612</f>
        <v>41678.020000000004</v>
      </c>
      <c r="H663" s="199">
        <f>SUM(H575:H587)+SUM(J602:J604)+L613</f>
        <v>314553.18</v>
      </c>
      <c r="I663" s="19">
        <f>SUM(F663:H663)</f>
        <v>412159.04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5324621.2400000021</v>
      </c>
      <c r="G664" s="19">
        <f>G660-SUM(G661:G663)</f>
        <v>2423135.2615999999</v>
      </c>
      <c r="H664" s="19">
        <f>H660-SUM(H661:H663)</f>
        <v>4476406.6683999998</v>
      </c>
      <c r="I664" s="19">
        <f>I660-SUM(I661:I663)</f>
        <v>12224163.170000002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239.04</v>
      </c>
      <c r="G665" s="248">
        <v>78.88</v>
      </c>
      <c r="H665" s="248">
        <v>167.06</v>
      </c>
      <c r="I665" s="19">
        <f>SUM(F665:H665)</f>
        <v>484.97999999999996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22275.02</v>
      </c>
      <c r="G667" s="19">
        <f>ROUND(G664/G665,2)</f>
        <v>30719.26</v>
      </c>
      <c r="H667" s="19">
        <f>ROUND(H664/H665,2)</f>
        <v>26795.200000000001</v>
      </c>
      <c r="I667" s="19">
        <f>ROUND(I664/I665,2)</f>
        <v>25205.5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-4.28</v>
      </c>
      <c r="I670" s="19">
        <f>SUM(F670:H670)</f>
        <v>-4.28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22275.02</v>
      </c>
      <c r="G672" s="19">
        <f>ROUND((G664+G669)/(G665+G670),2)</f>
        <v>30719.26</v>
      </c>
      <c r="H672" s="19">
        <f>ROUND((H664+H669)/(H665+H670),2)</f>
        <v>27499.73</v>
      </c>
      <c r="I672" s="19">
        <f>ROUND((I664+I669)/(I665+I670),2)</f>
        <v>25429.919999999998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I23" sqref="I2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MOULTONBOROUGH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3387201.6</v>
      </c>
      <c r="C9" s="229">
        <f>'DOE25'!G197+'DOE25'!G215+'DOE25'!G233+'DOE25'!G276+'DOE25'!G295+'DOE25'!G314</f>
        <v>1571446.97</v>
      </c>
    </row>
    <row r="10" spans="1:3" x14ac:dyDescent="0.2">
      <c r="A10" t="s">
        <v>773</v>
      </c>
      <c r="B10" s="240">
        <v>3054930.23</v>
      </c>
      <c r="C10" s="240">
        <v>1448052</v>
      </c>
    </row>
    <row r="11" spans="1:3" x14ac:dyDescent="0.2">
      <c r="A11" t="s">
        <v>774</v>
      </c>
      <c r="B11" s="240">
        <v>231511.8</v>
      </c>
      <c r="C11" s="240">
        <v>115686.86</v>
      </c>
    </row>
    <row r="12" spans="1:3" x14ac:dyDescent="0.2">
      <c r="A12" t="s">
        <v>775</v>
      </c>
      <c r="B12" s="240">
        <v>100759.57</v>
      </c>
      <c r="C12" s="240">
        <v>7708.11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3387201.5999999996</v>
      </c>
      <c r="C13" s="231">
        <f>SUM(C10:C12)</f>
        <v>1571446.9700000002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1333260.52</v>
      </c>
      <c r="C18" s="229">
        <f>'DOE25'!G198+'DOE25'!G216+'DOE25'!G234+'DOE25'!G277+'DOE25'!G296+'DOE25'!G315</f>
        <v>526875.93000000005</v>
      </c>
    </row>
    <row r="19" spans="1:3" x14ac:dyDescent="0.2">
      <c r="A19" t="s">
        <v>773</v>
      </c>
      <c r="B19" s="240">
        <v>814992.72</v>
      </c>
      <c r="C19" s="240">
        <v>437229.22</v>
      </c>
    </row>
    <row r="20" spans="1:3" x14ac:dyDescent="0.2">
      <c r="A20" t="s">
        <v>774</v>
      </c>
      <c r="B20" s="240">
        <v>517449.05</v>
      </c>
      <c r="C20" s="240">
        <v>89584.08</v>
      </c>
    </row>
    <row r="21" spans="1:3" x14ac:dyDescent="0.2">
      <c r="A21" t="s">
        <v>775</v>
      </c>
      <c r="B21" s="240">
        <v>818.75</v>
      </c>
      <c r="C21" s="240">
        <v>62.63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1333260.52</v>
      </c>
      <c r="C22" s="231">
        <f>SUM(C19:C21)</f>
        <v>526875.92999999993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12772.8</v>
      </c>
      <c r="C27" s="234">
        <f>'DOE25'!G199+'DOE25'!G217+'DOE25'!G235+'DOE25'!G278+'DOE25'!G297+'DOE25'!G316</f>
        <v>3291.92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>
        <v>12772.8</v>
      </c>
      <c r="C29" s="240">
        <v>3291.92</v>
      </c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12772.8</v>
      </c>
      <c r="C31" s="231">
        <f>SUM(C28:C30)</f>
        <v>3291.92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170020.25</v>
      </c>
      <c r="C36" s="235">
        <f>'DOE25'!G200+'DOE25'!G218+'DOE25'!G236+'DOE25'!G279+'DOE25'!G298+'DOE25'!G317</f>
        <v>32516.49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170020.25</v>
      </c>
      <c r="C39" s="240">
        <v>32516.49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170020.25</v>
      </c>
      <c r="C40" s="231">
        <f>SUM(C37:C39)</f>
        <v>32516.49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F25" sqref="F2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MOULTONBOROUGH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7875097.4300000006</v>
      </c>
      <c r="D5" s="20">
        <f>SUM('DOE25'!L197:L200)+SUM('DOE25'!L215:L218)+SUM('DOE25'!L233:L236)-F5-G5</f>
        <v>7831017.7600000007</v>
      </c>
      <c r="E5" s="243"/>
      <c r="F5" s="255">
        <f>SUM('DOE25'!J197:J200)+SUM('DOE25'!J215:J218)+SUM('DOE25'!J233:J236)</f>
        <v>24132.079999999998</v>
      </c>
      <c r="G5" s="53">
        <f>SUM('DOE25'!K197:K200)+SUM('DOE25'!K215:K218)+SUM('DOE25'!K233:K236)</f>
        <v>19947.59</v>
      </c>
      <c r="H5" s="259"/>
    </row>
    <row r="6" spans="1:9" x14ac:dyDescent="0.2">
      <c r="A6" s="32">
        <v>2100</v>
      </c>
      <c r="B6" t="s">
        <v>795</v>
      </c>
      <c r="C6" s="245">
        <f t="shared" si="0"/>
        <v>504285.77</v>
      </c>
      <c r="D6" s="20">
        <f>'DOE25'!L202+'DOE25'!L220+'DOE25'!L238-F6-G6</f>
        <v>502757.80000000005</v>
      </c>
      <c r="E6" s="243"/>
      <c r="F6" s="255">
        <f>'DOE25'!J202+'DOE25'!J220+'DOE25'!J238</f>
        <v>1198.97</v>
      </c>
      <c r="G6" s="53">
        <f>'DOE25'!K202+'DOE25'!K220+'DOE25'!K238</f>
        <v>329</v>
      </c>
      <c r="H6" s="259"/>
    </row>
    <row r="7" spans="1:9" x14ac:dyDescent="0.2">
      <c r="A7" s="32">
        <v>2200</v>
      </c>
      <c r="B7" t="s">
        <v>828</v>
      </c>
      <c r="C7" s="245">
        <f t="shared" si="0"/>
        <v>1004115.82</v>
      </c>
      <c r="D7" s="20">
        <f>'DOE25'!L203+'DOE25'!L221+'DOE25'!L239-F7-G7</f>
        <v>896257.57</v>
      </c>
      <c r="E7" s="243"/>
      <c r="F7" s="255">
        <f>'DOE25'!J203+'DOE25'!J221+'DOE25'!J239</f>
        <v>102355.25</v>
      </c>
      <c r="G7" s="53">
        <f>'DOE25'!K203+'DOE25'!K221+'DOE25'!K239</f>
        <v>5503</v>
      </c>
      <c r="H7" s="259"/>
    </row>
    <row r="8" spans="1:9" x14ac:dyDescent="0.2">
      <c r="A8" s="32">
        <v>2300</v>
      </c>
      <c r="B8" t="s">
        <v>796</v>
      </c>
      <c r="C8" s="245">
        <f t="shared" si="0"/>
        <v>263225.70999999996</v>
      </c>
      <c r="D8" s="243"/>
      <c r="E8" s="20">
        <f>'DOE25'!L204+'DOE25'!L222+'DOE25'!L240-F8-G8-D9-D11</f>
        <v>253129.24999999994</v>
      </c>
      <c r="F8" s="255">
        <f>'DOE25'!J204+'DOE25'!J222+'DOE25'!J240</f>
        <v>0</v>
      </c>
      <c r="G8" s="53">
        <f>'DOE25'!K204+'DOE25'!K222+'DOE25'!K240</f>
        <v>10096.459999999999</v>
      </c>
      <c r="H8" s="259"/>
    </row>
    <row r="9" spans="1:9" x14ac:dyDescent="0.2">
      <c r="A9" s="32">
        <v>2310</v>
      </c>
      <c r="B9" t="s">
        <v>812</v>
      </c>
      <c r="C9" s="245">
        <f t="shared" si="0"/>
        <v>39986.019999999997</v>
      </c>
      <c r="D9" s="244">
        <v>39986.019999999997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9200</v>
      </c>
      <c r="D10" s="243"/>
      <c r="E10" s="244">
        <v>9200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263062.96000000002</v>
      </c>
      <c r="D11" s="244">
        <v>263062.96000000002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687698.74</v>
      </c>
      <c r="D12" s="20">
        <f>'DOE25'!L205+'DOE25'!L223+'DOE25'!L241-F12-G12</f>
        <v>669986.39</v>
      </c>
      <c r="E12" s="243"/>
      <c r="F12" s="255">
        <f>'DOE25'!J205+'DOE25'!J223+'DOE25'!J241</f>
        <v>0</v>
      </c>
      <c r="G12" s="53">
        <f>'DOE25'!K205+'DOE25'!K223+'DOE25'!K241</f>
        <v>17712.349999999999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1548635.42</v>
      </c>
      <c r="D14" s="20">
        <f>'DOE25'!L207+'DOE25'!L225+'DOE25'!L243-F14-G14</f>
        <v>1541185.45</v>
      </c>
      <c r="E14" s="243"/>
      <c r="F14" s="255">
        <f>'DOE25'!J207+'DOE25'!J225+'DOE25'!J243</f>
        <v>7449.9699999999993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572459.48</v>
      </c>
      <c r="D15" s="20">
        <f>'DOE25'!L208+'DOE25'!L226+'DOE25'!L244-F15-G15</f>
        <v>572459.48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57197.05</v>
      </c>
      <c r="D19" s="20">
        <f>'DOE25'!L253-F19-G19</f>
        <v>44039.26</v>
      </c>
      <c r="E19" s="243"/>
      <c r="F19" s="255">
        <f>'DOE25'!J253</f>
        <v>13157.79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955012.09</v>
      </c>
      <c r="D25" s="243"/>
      <c r="E25" s="243"/>
      <c r="F25" s="258"/>
      <c r="G25" s="256"/>
      <c r="H25" s="257">
        <f>'DOE25'!L260+'DOE25'!L261+'DOE25'!L341+'DOE25'!L342</f>
        <v>955012.09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213164</v>
      </c>
      <c r="D29" s="20">
        <f>'DOE25'!L358+'DOE25'!L359+'DOE25'!L360-'DOE25'!I367-F29-G29</f>
        <v>213164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346935.86000000004</v>
      </c>
      <c r="D31" s="20">
        <f>'DOE25'!L290+'DOE25'!L309+'DOE25'!L328+'DOE25'!L333+'DOE25'!L334+'DOE25'!L335-F31-G31</f>
        <v>346935.86000000004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12920852.550000001</v>
      </c>
      <c r="E33" s="246">
        <f>SUM(E5:E31)</f>
        <v>262329.24999999994</v>
      </c>
      <c r="F33" s="246">
        <f>SUM(F5:F31)</f>
        <v>148294.06</v>
      </c>
      <c r="G33" s="246">
        <f>SUM(G5:G31)</f>
        <v>53588.4</v>
      </c>
      <c r="H33" s="246">
        <f>SUM(H5:H31)</f>
        <v>955012.09</v>
      </c>
    </row>
    <row r="35" spans="2:8" ht="12" thickBot="1" x14ac:dyDescent="0.25">
      <c r="B35" s="253" t="s">
        <v>841</v>
      </c>
      <c r="D35" s="254">
        <f>E33</f>
        <v>262329.24999999994</v>
      </c>
      <c r="E35" s="249"/>
    </row>
    <row r="36" spans="2:8" ht="12" thickTop="1" x14ac:dyDescent="0.2">
      <c r="B36" t="s">
        <v>809</v>
      </c>
      <c r="D36" s="20">
        <f>D33</f>
        <v>12920852.550000001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11" sqref="C1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MOULTONBOROUGH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2033557.88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2109148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5645.52</v>
      </c>
      <c r="E12" s="95">
        <f>'DOE25'!H13</f>
        <v>113232.95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8755.0499999999993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98128.26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2131686.1399999997</v>
      </c>
      <c r="D18" s="41">
        <f>SUM(D8:D17)</f>
        <v>14400.57</v>
      </c>
      <c r="E18" s="41">
        <f>SUM(E8:E17)</f>
        <v>113232.95</v>
      </c>
      <c r="F18" s="41">
        <f>SUM(F8:F17)</f>
        <v>0</v>
      </c>
      <c r="G18" s="41">
        <f>SUM(G8:G17)</f>
        <v>2109148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835090.54</v>
      </c>
      <c r="D21" s="95">
        <f>'DOE25'!G22</f>
        <v>14400.57</v>
      </c>
      <c r="E21" s="95">
        <f>'DOE25'!H22</f>
        <v>100854.44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11669.59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453107.65</v>
      </c>
      <c r="D29" s="95">
        <f>'DOE25'!G30</f>
        <v>0</v>
      </c>
      <c r="E29" s="95">
        <f>'DOE25'!H30</f>
        <v>12378.51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1299867.78</v>
      </c>
      <c r="D31" s="41">
        <f>SUM(D21:D30)</f>
        <v>14400.57</v>
      </c>
      <c r="E31" s="41">
        <f>SUM(E21:E30)</f>
        <v>113232.95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200000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2109148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431818.35600000003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75000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831818.35600000003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2109148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2131686.1359999999</v>
      </c>
      <c r="D51" s="41">
        <f>D50+D31</f>
        <v>14400.57</v>
      </c>
      <c r="E51" s="41">
        <f>E50+E31</f>
        <v>113232.95</v>
      </c>
      <c r="F51" s="41">
        <f>F50+F31</f>
        <v>0</v>
      </c>
      <c r="G51" s="41">
        <f>G50+G31</f>
        <v>2109148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6239892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47541.520000000004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2840.74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35628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109885.52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134.19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1444463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50516.450000000004</v>
      </c>
      <c r="D62" s="130">
        <f>SUM(D57:D61)</f>
        <v>109885.52</v>
      </c>
      <c r="E62" s="130">
        <f>SUM(E57:E61)</f>
        <v>0</v>
      </c>
      <c r="F62" s="130">
        <f>SUM(F57:F61)</f>
        <v>0</v>
      </c>
      <c r="G62" s="130">
        <f>SUM(G57:G61)</f>
        <v>1480091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6290408.4500000002</v>
      </c>
      <c r="D63" s="22">
        <f>D56+D62</f>
        <v>109885.52</v>
      </c>
      <c r="E63" s="22">
        <f>E56+E62</f>
        <v>0</v>
      </c>
      <c r="F63" s="22">
        <f>F56+F62</f>
        <v>0</v>
      </c>
      <c r="G63" s="22">
        <f>G56+G62</f>
        <v>1480091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6682342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6682342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302849.12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180363.33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2505.6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2637.53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485718.04999999993</v>
      </c>
      <c r="D78" s="130">
        <f>SUM(D72:D77)</f>
        <v>2637.53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7168060.0499999998</v>
      </c>
      <c r="D81" s="130">
        <f>SUM(D79:D80)+D78+D70</f>
        <v>2637.53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249143.88</v>
      </c>
      <c r="D88" s="95">
        <f>SUM('DOE25'!G153:G161)</f>
        <v>75847.66</v>
      </c>
      <c r="E88" s="95">
        <f>SUM('DOE25'!H153:H161)</f>
        <v>346935.86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249143.88</v>
      </c>
      <c r="D91" s="131">
        <f>SUM(D85:D90)</f>
        <v>75847.66</v>
      </c>
      <c r="E91" s="131">
        <f>SUM(E85:E90)</f>
        <v>346935.86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25725.43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25725.43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759</v>
      </c>
      <c r="C104" s="86">
        <f>C63+C81+C91+C103</f>
        <v>13707612.380000001</v>
      </c>
      <c r="D104" s="86">
        <f>D63+D81+D91+D103</f>
        <v>214096.14</v>
      </c>
      <c r="E104" s="86">
        <f>E63+E81+E91+E103</f>
        <v>346935.86</v>
      </c>
      <c r="F104" s="86">
        <f>F63+F81+F91+F103</f>
        <v>0</v>
      </c>
      <c r="G104" s="86">
        <f>G63+G81+G103</f>
        <v>1555091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4993038.75</v>
      </c>
      <c r="D109" s="24" t="s">
        <v>286</v>
      </c>
      <c r="E109" s="95">
        <f>('DOE25'!L276)+('DOE25'!L295)+('DOE25'!L314)</f>
        <v>194282.18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2509685.5499999998</v>
      </c>
      <c r="D110" s="24" t="s">
        <v>286</v>
      </c>
      <c r="E110" s="95">
        <f>('DOE25'!L277)+('DOE25'!L296)+('DOE25'!L315)</f>
        <v>140374.23000000001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60016.42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312356.70999999996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57197.05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7932294.4799999995</v>
      </c>
      <c r="D115" s="86">
        <f>SUM(D109:D114)</f>
        <v>0</v>
      </c>
      <c r="E115" s="86">
        <f>SUM(E109:E114)</f>
        <v>334656.41000000003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504285.77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1004115.82</v>
      </c>
      <c r="D119" s="24" t="s">
        <v>286</v>
      </c>
      <c r="E119" s="95">
        <f>+('DOE25'!L282)+('DOE25'!L301)+('DOE25'!L320)</f>
        <v>12279.45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566274.68999999994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687698.74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1548635.42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572459.48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213164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4883469.92</v>
      </c>
      <c r="D128" s="86">
        <f>SUM(D118:D127)</f>
        <v>213164</v>
      </c>
      <c r="E128" s="86">
        <f>SUM(E118:E127)</f>
        <v>12279.45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947732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7280.09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25725.43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1555091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-1480091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1055737.52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13871501.919999998</v>
      </c>
      <c r="D145" s="86">
        <f>(D115+D128+D144)</f>
        <v>213164</v>
      </c>
      <c r="E145" s="86">
        <f>(E115+E128+E144)</f>
        <v>346935.86000000004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4/2003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1/2018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11362231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3.98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976336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976336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947732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947732</v>
      </c>
    </row>
    <row r="160" spans="1:9" x14ac:dyDescent="0.2">
      <c r="A160" s="22" t="s">
        <v>36</v>
      </c>
      <c r="B160" s="137">
        <f>'DOE25'!F499</f>
        <v>7280.09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7280.09</v>
      </c>
    </row>
    <row r="161" spans="1:7" x14ac:dyDescent="0.2">
      <c r="A161" s="22" t="s">
        <v>37</v>
      </c>
      <c r="B161" s="137">
        <f>'DOE25'!F500</f>
        <v>955012.09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955012.09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MOULTONBOROUGH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22275</v>
      </c>
    </row>
    <row r="5" spans="1:4" x14ac:dyDescent="0.2">
      <c r="B5" t="s">
        <v>698</v>
      </c>
      <c r="C5" s="179">
        <f>IF('DOE25'!G665+'DOE25'!G670=0,0,ROUND('DOE25'!G672,0))</f>
        <v>30719</v>
      </c>
    </row>
    <row r="6" spans="1:4" x14ac:dyDescent="0.2">
      <c r="B6" t="s">
        <v>62</v>
      </c>
      <c r="C6" s="179">
        <f>IF('DOE25'!H665+'DOE25'!H670=0,0,ROUND('DOE25'!H672,0))</f>
        <v>27500</v>
      </c>
    </row>
    <row r="7" spans="1:4" x14ac:dyDescent="0.2">
      <c r="B7" t="s">
        <v>699</v>
      </c>
      <c r="C7" s="179">
        <f>IF('DOE25'!I665+'DOE25'!I670=0,0,ROUND('DOE25'!I672,0))</f>
        <v>25430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5187321</v>
      </c>
      <c r="D10" s="182">
        <f>ROUND((C10/$C$28)*100,1)</f>
        <v>39.1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2650060</v>
      </c>
      <c r="D11" s="182">
        <f>ROUND((C11/$C$28)*100,1)</f>
        <v>20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60016</v>
      </c>
      <c r="D12" s="182">
        <f>ROUND((C12/$C$28)*100,1)</f>
        <v>0.5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312357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504286</v>
      </c>
      <c r="D15" s="182">
        <f t="shared" ref="D15:D27" si="0">ROUND((C15/$C$28)*100,1)</f>
        <v>3.8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1016395</v>
      </c>
      <c r="D16" s="182">
        <f t="shared" si="0"/>
        <v>7.7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566275</v>
      </c>
      <c r="D17" s="182">
        <f t="shared" si="0"/>
        <v>4.3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687699</v>
      </c>
      <c r="D18" s="182">
        <f t="shared" si="0"/>
        <v>5.2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1548635</v>
      </c>
      <c r="D20" s="182">
        <f t="shared" si="0"/>
        <v>11.7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572459</v>
      </c>
      <c r="D21" s="182">
        <f t="shared" si="0"/>
        <v>4.3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57197</v>
      </c>
      <c r="D24" s="182">
        <f t="shared" si="0"/>
        <v>0.4</v>
      </c>
    </row>
    <row r="25" spans="1:4" x14ac:dyDescent="0.2">
      <c r="A25">
        <v>5120</v>
      </c>
      <c r="B25" t="s">
        <v>714</v>
      </c>
      <c r="C25" s="179">
        <f>ROUND('DOE25'!L261+'DOE25'!L342,0)</f>
        <v>7280</v>
      </c>
      <c r="D25" s="182">
        <f t="shared" si="0"/>
        <v>0.1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103278.48</v>
      </c>
      <c r="D27" s="182">
        <f t="shared" si="0"/>
        <v>0.8</v>
      </c>
    </row>
    <row r="28" spans="1:4" x14ac:dyDescent="0.2">
      <c r="B28" s="187" t="s">
        <v>717</v>
      </c>
      <c r="C28" s="180">
        <f>SUM(C10:C27)</f>
        <v>13273258.48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13273258.48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947732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6239892</v>
      </c>
      <c r="D35" s="182">
        <f t="shared" ref="D35:D40" si="1">ROUND((C35/$C$41)*100,1)</f>
        <v>40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1530607.4499999993</v>
      </c>
      <c r="D36" s="182">
        <f t="shared" si="1"/>
        <v>9.8000000000000007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6682342</v>
      </c>
      <c r="D37" s="182">
        <f t="shared" si="1"/>
        <v>42.8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488356</v>
      </c>
      <c r="D38" s="182">
        <f t="shared" si="1"/>
        <v>3.1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671927</v>
      </c>
      <c r="D39" s="182">
        <f t="shared" si="1"/>
        <v>4.3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15613124.449999999</v>
      </c>
      <c r="D41" s="184">
        <f>SUM(D35:D40)</f>
        <v>99.999999999999986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16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MOULTONBOROUGH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2018-10-19T18:08:55Z</cp:lastPrinted>
  <dcterms:created xsi:type="dcterms:W3CDTF">1997-12-04T19:04:30Z</dcterms:created>
  <dcterms:modified xsi:type="dcterms:W3CDTF">2018-12-03T19:46:45Z</dcterms:modified>
</cp:coreProperties>
</file>