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J465" i="1"/>
  <c r="J179" i="1"/>
  <c r="J96" i="1"/>
  <c r="B12" i="12" l="1"/>
  <c r="B11" i="12"/>
  <c r="B10" i="12"/>
  <c r="G611" i="1"/>
  <c r="H604" i="1"/>
  <c r="K531" i="1"/>
  <c r="I526" i="1"/>
  <c r="H526" i="1"/>
  <c r="G526" i="1"/>
  <c r="F526" i="1"/>
  <c r="I521" i="1"/>
  <c r="G521" i="1"/>
  <c r="F521" i="1"/>
  <c r="G358" i="1"/>
  <c r="I276" i="1"/>
  <c r="G276" i="1"/>
  <c r="F276" i="1"/>
  <c r="K285" i="1"/>
  <c r="H282" i="1"/>
  <c r="G282" i="1"/>
  <c r="I281" i="1"/>
  <c r="G281" i="1"/>
  <c r="G279" i="1"/>
  <c r="J276" i="1"/>
  <c r="H244" i="1"/>
  <c r="H159" i="1"/>
  <c r="H155" i="1"/>
  <c r="H150" i="1"/>
  <c r="H226" i="1" l="1"/>
  <c r="K266" i="1"/>
  <c r="I202" i="1"/>
  <c r="H202" i="1"/>
  <c r="H208" i="1"/>
  <c r="H204" i="1"/>
  <c r="G202" i="1"/>
  <c r="G204" i="1"/>
  <c r="G203" i="1"/>
  <c r="F204" i="1"/>
  <c r="F202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F22" i="13" s="1"/>
  <c r="C22" i="13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I147" i="1"/>
  <c r="I162" i="1"/>
  <c r="I169" i="1" s="1"/>
  <c r="C12" i="10"/>
  <c r="C19" i="10"/>
  <c r="C21" i="10"/>
  <c r="L250" i="1"/>
  <c r="L332" i="1"/>
  <c r="L254" i="1"/>
  <c r="L268" i="1"/>
  <c r="L269" i="1"/>
  <c r="C143" i="2" s="1"/>
  <c r="L349" i="1"/>
  <c r="L350" i="1"/>
  <c r="I665" i="1"/>
  <c r="I670" i="1"/>
  <c r="F661" i="1"/>
  <c r="G661" i="1"/>
  <c r="F662" i="1"/>
  <c r="G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E121" i="2"/>
  <c r="E123" i="2"/>
  <c r="E124" i="2"/>
  <c r="E125" i="2"/>
  <c r="D127" i="2"/>
  <c r="D128" i="2" s="1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K211" i="1"/>
  <c r="F229" i="1"/>
  <c r="G229" i="1"/>
  <c r="H229" i="1"/>
  <c r="I229" i="1"/>
  <c r="J229" i="1"/>
  <c r="K229" i="1"/>
  <c r="K257" i="1" s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G474" i="1"/>
  <c r="H474" i="1"/>
  <c r="H476" i="1" s="1"/>
  <c r="H624" i="1" s="1"/>
  <c r="I474" i="1"/>
  <c r="I476" i="1" s="1"/>
  <c r="H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J655" i="1" s="1"/>
  <c r="C26" i="10"/>
  <c r="L328" i="1"/>
  <c r="A31" i="12"/>
  <c r="D18" i="13"/>
  <c r="C18" i="13" s="1"/>
  <c r="D15" i="13"/>
  <c r="C15" i="13" s="1"/>
  <c r="D17" i="13"/>
  <c r="C17" i="13" s="1"/>
  <c r="G161" i="2"/>
  <c r="D91" i="2"/>
  <c r="D19" i="13"/>
  <c r="C19" i="13" s="1"/>
  <c r="E78" i="2"/>
  <c r="H112" i="1"/>
  <c r="L419" i="1"/>
  <c r="J476" i="1"/>
  <c r="H626" i="1" s="1"/>
  <c r="J552" i="1"/>
  <c r="H140" i="1"/>
  <c r="L393" i="1"/>
  <c r="C138" i="2" s="1"/>
  <c r="G192" i="1"/>
  <c r="H192" i="1"/>
  <c r="L309" i="1"/>
  <c r="E16" i="13"/>
  <c r="L570" i="1"/>
  <c r="G36" i="2"/>
  <c r="C16" i="13"/>
  <c r="E130" i="2" l="1"/>
  <c r="E144" i="2" s="1"/>
  <c r="L382" i="1"/>
  <c r="G636" i="1" s="1"/>
  <c r="J636" i="1" s="1"/>
  <c r="J639" i="1"/>
  <c r="G408" i="1"/>
  <c r="H645" i="1" s="1"/>
  <c r="J645" i="1" s="1"/>
  <c r="J644" i="1"/>
  <c r="F476" i="1"/>
  <c r="H622" i="1" s="1"/>
  <c r="J622" i="1" s="1"/>
  <c r="G476" i="1"/>
  <c r="H623" i="1" s="1"/>
  <c r="J623" i="1" s="1"/>
  <c r="A40" i="12"/>
  <c r="K598" i="1"/>
  <c r="G647" i="1" s="1"/>
  <c r="I545" i="1"/>
  <c r="H545" i="1"/>
  <c r="G545" i="1"/>
  <c r="F552" i="1"/>
  <c r="K550" i="1"/>
  <c r="K549" i="1"/>
  <c r="K552" i="1" s="1"/>
  <c r="D29" i="13"/>
  <c r="C29" i="13" s="1"/>
  <c r="I661" i="1"/>
  <c r="H338" i="1"/>
  <c r="H352" i="1" s="1"/>
  <c r="C29" i="10"/>
  <c r="E128" i="2"/>
  <c r="C15" i="10"/>
  <c r="J338" i="1"/>
  <c r="J352" i="1" s="1"/>
  <c r="C17" i="10"/>
  <c r="J625" i="1"/>
  <c r="I52" i="1"/>
  <c r="H620" i="1" s="1"/>
  <c r="E110" i="2"/>
  <c r="E115" i="2" s="1"/>
  <c r="L290" i="1"/>
  <c r="C10" i="10"/>
  <c r="I662" i="1"/>
  <c r="C110" i="2"/>
  <c r="L247" i="1"/>
  <c r="H660" i="1" s="1"/>
  <c r="H664" i="1" s="1"/>
  <c r="C124" i="2"/>
  <c r="H257" i="1"/>
  <c r="H271" i="1" s="1"/>
  <c r="C109" i="2"/>
  <c r="C115" i="2" s="1"/>
  <c r="L270" i="1"/>
  <c r="H25" i="13"/>
  <c r="C25" i="10"/>
  <c r="K271" i="1"/>
  <c r="D12" i="13"/>
  <c r="C12" i="13" s="1"/>
  <c r="C13" i="10"/>
  <c r="G649" i="1"/>
  <c r="J649" i="1" s="1"/>
  <c r="H647" i="1"/>
  <c r="E8" i="13"/>
  <c r="C8" i="13" s="1"/>
  <c r="C122" i="2"/>
  <c r="C118" i="2"/>
  <c r="D5" i="13"/>
  <c r="C5" i="13" s="1"/>
  <c r="G257" i="1"/>
  <c r="G271" i="1" s="1"/>
  <c r="C123" i="2"/>
  <c r="D14" i="13"/>
  <c r="C14" i="13" s="1"/>
  <c r="C121" i="2"/>
  <c r="C18" i="10"/>
  <c r="L211" i="1"/>
  <c r="D7" i="13"/>
  <c r="C7" i="13" s="1"/>
  <c r="C16" i="10"/>
  <c r="D6" i="13"/>
  <c r="C6" i="13" s="1"/>
  <c r="F257" i="1"/>
  <c r="F271" i="1" s="1"/>
  <c r="H169" i="1"/>
  <c r="H193" i="1" s="1"/>
  <c r="G629" i="1" s="1"/>
  <c r="J629" i="1" s="1"/>
  <c r="C91" i="2"/>
  <c r="C70" i="2"/>
  <c r="C62" i="2"/>
  <c r="C63" i="2" s="1"/>
  <c r="F112" i="1"/>
  <c r="C35" i="10"/>
  <c r="E31" i="2"/>
  <c r="H52" i="1"/>
  <c r="H619" i="1" s="1"/>
  <c r="J619" i="1" s="1"/>
  <c r="D31" i="2"/>
  <c r="D51" i="2" s="1"/>
  <c r="J617" i="1"/>
  <c r="C18" i="2"/>
  <c r="J640" i="1"/>
  <c r="J271" i="1"/>
  <c r="L544" i="1"/>
  <c r="L524" i="1"/>
  <c r="H552" i="1"/>
  <c r="F169" i="1"/>
  <c r="E81" i="2"/>
  <c r="G624" i="1"/>
  <c r="J624" i="1" s="1"/>
  <c r="L534" i="1"/>
  <c r="K500" i="1"/>
  <c r="I460" i="1"/>
  <c r="I452" i="1"/>
  <c r="I446" i="1"/>
  <c r="G642" i="1" s="1"/>
  <c r="D145" i="2"/>
  <c r="C78" i="2"/>
  <c r="E56" i="2"/>
  <c r="E63" i="2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J652" i="1"/>
  <c r="G571" i="1"/>
  <c r="I434" i="1"/>
  <c r="G434" i="1"/>
  <c r="I663" i="1"/>
  <c r="C27" i="10"/>
  <c r="G635" i="1"/>
  <c r="J635" i="1" s="1"/>
  <c r="I461" i="1" l="1"/>
  <c r="H642" i="1" s="1"/>
  <c r="J642" i="1" s="1"/>
  <c r="H646" i="1"/>
  <c r="J646" i="1" s="1"/>
  <c r="J647" i="1"/>
  <c r="G672" i="1"/>
  <c r="C5" i="10" s="1"/>
  <c r="L338" i="1"/>
  <c r="L352" i="1" s="1"/>
  <c r="G633" i="1" s="1"/>
  <c r="J633" i="1" s="1"/>
  <c r="E145" i="2"/>
  <c r="H648" i="1"/>
  <c r="J648" i="1" s="1"/>
  <c r="L257" i="1"/>
  <c r="L271" i="1" s="1"/>
  <c r="G632" i="1" s="1"/>
  <c r="J632" i="1" s="1"/>
  <c r="C39" i="10"/>
  <c r="E51" i="2"/>
  <c r="H667" i="1"/>
  <c r="H672" i="1"/>
  <c r="C6" i="10" s="1"/>
  <c r="C25" i="13"/>
  <c r="H33" i="13"/>
  <c r="E33" i="13"/>
  <c r="D35" i="13" s="1"/>
  <c r="C28" i="10"/>
  <c r="D19" i="10" s="1"/>
  <c r="F660" i="1"/>
  <c r="F664" i="1" s="1"/>
  <c r="F672" i="1" s="1"/>
  <c r="C4" i="10" s="1"/>
  <c r="C128" i="2"/>
  <c r="C145" i="2" s="1"/>
  <c r="I193" i="1"/>
  <c r="G630" i="1" s="1"/>
  <c r="J630" i="1" s="1"/>
  <c r="E104" i="2"/>
  <c r="C81" i="2"/>
  <c r="C104" i="2" s="1"/>
  <c r="F193" i="1"/>
  <c r="G627" i="1" s="1"/>
  <c r="J627" i="1" s="1"/>
  <c r="C36" i="10"/>
  <c r="D31" i="13"/>
  <c r="C31" i="13" s="1"/>
  <c r="L545" i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1" i="10"/>
  <c r="D22" i="10"/>
  <c r="D27" i="10"/>
  <c r="D17" i="10"/>
  <c r="D24" i="10"/>
  <c r="D13" i="10"/>
  <c r="D21" i="10"/>
  <c r="D18" i="10"/>
  <c r="D12" i="10"/>
  <c r="D10" i="10"/>
  <c r="D26" i="10"/>
  <c r="C30" i="10"/>
  <c r="D16" i="10"/>
  <c r="D23" i="10"/>
  <c r="D20" i="10"/>
  <c r="D15" i="10"/>
  <c r="D25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<sst xmlns="http://schemas.openxmlformats.org/spreadsheetml/2006/main" count="3957" uniqueCount="913">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</sst>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28" zoomScaleNormal="100" workbookViewId="0">
      <selection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375</v>
      </c>
      <c r="C2" s="21">
        <v>375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239782.9-18485.49</f>
        <v>221297.41</v>
      </c>
      <c r="G9" s="18"/>
      <c r="H9" s="18">
        <v>10000.620000000001</v>
      </c>
      <c r="I9" s="18">
        <v>130031.93</v>
      </c>
      <c r="J9" s="67">
        <f>SUM(I439)</f>
        <v>216187.28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2418.66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30719.46</v>
      </c>
      <c r="G13" s="18"/>
      <c r="H13" s="18">
        <v>5577.01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2284.4699999999998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500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257220</v>
      </c>
      <c r="G19" s="41">
        <f>SUM(G9:G18)</f>
        <v>0</v>
      </c>
      <c r="H19" s="41">
        <f>SUM(H9:H18)</f>
        <v>15577.630000000001</v>
      </c>
      <c r="I19" s="41">
        <f>SUM(I9:I18)</f>
        <v>130031.93</v>
      </c>
      <c r="J19" s="41">
        <f>SUM(J9:J18)</f>
        <v>216187.28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2418.66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3602.62</v>
      </c>
      <c r="G23" s="18"/>
      <c r="H23" s="18">
        <v>454.73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9579.48</v>
      </c>
      <c r="G24" s="18"/>
      <c r="H24" s="18">
        <v>2703.62</v>
      </c>
      <c r="I24" s="18">
        <v>597.48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2284.4699999999998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15466.569999999998</v>
      </c>
      <c r="G32" s="41">
        <f>SUM(G22:G31)</f>
        <v>0</v>
      </c>
      <c r="H32" s="41">
        <f>SUM(H22:H31)</f>
        <v>5577.01</v>
      </c>
      <c r="I32" s="41">
        <f>SUM(I22:I31)</f>
        <v>597.48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500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>
        <v>96671.75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62500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240</v>
      </c>
      <c r="G45" s="18"/>
      <c r="H45" s="18"/>
      <c r="I45" s="18">
        <v>32762.7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10000.620000000001</v>
      </c>
      <c r="I48" s="18"/>
      <c r="J48" s="13">
        <f>SUM(I459)</f>
        <v>216187.28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178513.43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241753.43</v>
      </c>
      <c r="G51" s="41">
        <f>SUM(G35:G50)</f>
        <v>0</v>
      </c>
      <c r="H51" s="41">
        <f>SUM(H35:H50)</f>
        <v>10000.620000000001</v>
      </c>
      <c r="I51" s="41">
        <f>SUM(I35:I50)</f>
        <v>129434.45</v>
      </c>
      <c r="J51" s="41">
        <f>SUM(J35:J50)</f>
        <v>216187.28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257220</v>
      </c>
      <c r="G52" s="41">
        <f>G51+G32</f>
        <v>0</v>
      </c>
      <c r="H52" s="41">
        <f>H51+H32</f>
        <v>15577.630000000001</v>
      </c>
      <c r="I52" s="41">
        <f>I51+I32</f>
        <v>130031.93</v>
      </c>
      <c r="J52" s="41">
        <f>J51+J32</f>
        <v>216187.28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666870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666870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>
        <v>16028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414162.56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74152.08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488314.64</v>
      </c>
      <c r="G79" s="45" t="s">
        <v>286</v>
      </c>
      <c r="H79" s="41">
        <f>SUM(H63:H78)</f>
        <v>16028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99.92</v>
      </c>
      <c r="G96" s="18"/>
      <c r="H96" s="18"/>
      <c r="I96" s="18"/>
      <c r="J96" s="18">
        <f>1655.97+922.82</f>
        <v>2578.79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30513.95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3301.46+3884.57</f>
        <v>7186.0300000000007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37799.9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2578.79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1192984.54</v>
      </c>
      <c r="G112" s="41">
        <f>G60+G111</f>
        <v>0</v>
      </c>
      <c r="H112" s="41">
        <f>H60+H79+H94+H111</f>
        <v>16028</v>
      </c>
      <c r="I112" s="41">
        <f>I60+I111</f>
        <v>0</v>
      </c>
      <c r="J112" s="41">
        <f>J60+J111</f>
        <v>2578.79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276979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276979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276979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12.82+14940.46</f>
        <v>14953.279999999999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14963.07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1545.89+13100+3437.31</f>
        <v>18083.2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6211.3+510.22</f>
        <v>6721.52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1090.43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1090.43</v>
      </c>
      <c r="G162" s="41">
        <f>SUM(G150:G161)</f>
        <v>0</v>
      </c>
      <c r="H162" s="41">
        <f>SUM(H150:H161)</f>
        <v>54721.070000000007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1090.43</v>
      </c>
      <c r="G169" s="41">
        <f>G147+G162+SUM(G163:G168)</f>
        <v>0</v>
      </c>
      <c r="H169" s="41">
        <f>H147+H162+SUM(H163:H168)</f>
        <v>54721.070000000007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1000000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>
        <v>8465.73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1008465.73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9693.7199999999993</v>
      </c>
      <c r="H179" s="18"/>
      <c r="I179" s="18"/>
      <c r="J179" s="18">
        <f>5000+25000</f>
        <v>30000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9693.7199999999993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9693.7199999999993</v>
      </c>
      <c r="H192" s="41">
        <f>+H183+SUM(H188:H191)</f>
        <v>0</v>
      </c>
      <c r="I192" s="41">
        <f>I177+I183+SUM(I188:I191)</f>
        <v>1008465.73</v>
      </c>
      <c r="J192" s="41">
        <f>J183</f>
        <v>30000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1471053.97</v>
      </c>
      <c r="G193" s="47">
        <f>G112+G140+G169+G192</f>
        <v>9693.7199999999993</v>
      </c>
      <c r="H193" s="47">
        <f>H112+H140+H169+H192</f>
        <v>70749.070000000007</v>
      </c>
      <c r="I193" s="47">
        <f>I112+I140+I169+I192</f>
        <v>1008465.73</v>
      </c>
      <c r="J193" s="47">
        <f>J112+J140+J192</f>
        <v>32578.79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266324.28999999998</v>
      </c>
      <c r="G197" s="18">
        <v>84765.67</v>
      </c>
      <c r="H197" s="18">
        <v>13574.44</v>
      </c>
      <c r="I197" s="18">
        <v>20277.400000000001</v>
      </c>
      <c r="J197" s="18">
        <v>1138.3</v>
      </c>
      <c r="K197" s="18"/>
      <c r="L197" s="19">
        <f>SUM(F197:K197)</f>
        <v>386080.1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163142.62</v>
      </c>
      <c r="G198" s="18">
        <v>76454.61</v>
      </c>
      <c r="H198" s="18"/>
      <c r="I198" s="18">
        <v>446.16</v>
      </c>
      <c r="J198" s="18"/>
      <c r="K198" s="18"/>
      <c r="L198" s="19">
        <f>SUM(F198:K198)</f>
        <v>240043.38999999998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1215</v>
      </c>
      <c r="G200" s="18">
        <v>284.88</v>
      </c>
      <c r="H200" s="18">
        <v>266.5</v>
      </c>
      <c r="I200" s="18">
        <v>258.88</v>
      </c>
      <c r="J200" s="18"/>
      <c r="K200" s="18"/>
      <c r="L200" s="19">
        <f>SUM(F200:K200)</f>
        <v>2025.2600000000002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11659.96+7421.89+16381.54</f>
        <v>35463.39</v>
      </c>
      <c r="G202" s="18">
        <f>934.96+595.32+1313.69</f>
        <v>2843.9700000000003</v>
      </c>
      <c r="H202" s="18">
        <f>455+14192.67+4320+1815.04+6729.12</f>
        <v>27511.829999999998</v>
      </c>
      <c r="I202" s="18">
        <f>171.34+372.34+97.67</f>
        <v>641.34999999999991</v>
      </c>
      <c r="J202" s="18"/>
      <c r="K202" s="18"/>
      <c r="L202" s="19">
        <f t="shared" ref="L202:L208" si="0">SUM(F202:K202)</f>
        <v>66460.540000000008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6075</v>
      </c>
      <c r="G203" s="18">
        <f>1332.66+89</f>
        <v>1421.66</v>
      </c>
      <c r="H203" s="18">
        <v>4131.6000000000004</v>
      </c>
      <c r="I203" s="18">
        <v>69.14</v>
      </c>
      <c r="J203" s="18"/>
      <c r="K203" s="18"/>
      <c r="L203" s="19">
        <f t="shared" si="0"/>
        <v>11697.4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1369+1750</f>
        <v>3119</v>
      </c>
      <c r="G204" s="18">
        <f>109.8+140.36</f>
        <v>250.16000000000003</v>
      </c>
      <c r="H204" s="18">
        <f>228.6+100+7600+100+110121</f>
        <v>118149.6</v>
      </c>
      <c r="I204" s="18">
        <v>417.17</v>
      </c>
      <c r="J204" s="18">
        <v>862.83</v>
      </c>
      <c r="K204" s="18">
        <v>24</v>
      </c>
      <c r="L204" s="19">
        <f t="shared" si="0"/>
        <v>122822.76000000001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111040.44</v>
      </c>
      <c r="G205" s="18">
        <v>62623.1</v>
      </c>
      <c r="H205" s="18">
        <v>7621.38</v>
      </c>
      <c r="I205" s="18">
        <v>2601.14</v>
      </c>
      <c r="J205" s="18">
        <v>939.98</v>
      </c>
      <c r="K205" s="18"/>
      <c r="L205" s="19">
        <f t="shared" si="0"/>
        <v>184826.04000000004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10387.459999999999</v>
      </c>
      <c r="G207" s="18">
        <v>1129.52</v>
      </c>
      <c r="H207" s="18">
        <v>39214.85</v>
      </c>
      <c r="I207" s="18">
        <v>18580.86</v>
      </c>
      <c r="J207" s="18">
        <v>6423.15</v>
      </c>
      <c r="K207" s="18"/>
      <c r="L207" s="19">
        <f t="shared" si="0"/>
        <v>75735.839999999997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22097.08+1150+23713.35</f>
        <v>46960.43</v>
      </c>
      <c r="I208" s="18"/>
      <c r="J208" s="18"/>
      <c r="K208" s="18"/>
      <c r="L208" s="19">
        <f t="shared" si="0"/>
        <v>46960.43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278.5</v>
      </c>
      <c r="I209" s="18"/>
      <c r="J209" s="18"/>
      <c r="K209" s="18"/>
      <c r="L209" s="19">
        <f>SUM(F209:K209)</f>
        <v>278.5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596767.19999999995</v>
      </c>
      <c r="G211" s="41">
        <f t="shared" si="1"/>
        <v>229773.57</v>
      </c>
      <c r="H211" s="41">
        <f t="shared" si="1"/>
        <v>257709.13</v>
      </c>
      <c r="I211" s="41">
        <f t="shared" si="1"/>
        <v>43292.1</v>
      </c>
      <c r="J211" s="41">
        <f t="shared" si="1"/>
        <v>9364.26</v>
      </c>
      <c r="K211" s="41">
        <f t="shared" si="1"/>
        <v>24</v>
      </c>
      <c r="L211" s="41">
        <f t="shared" si="1"/>
        <v>1136930.26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158313</v>
      </c>
      <c r="I215" s="18"/>
      <c r="J215" s="18"/>
      <c r="K215" s="18"/>
      <c r="L215" s="19">
        <f>SUM(F215:K215)</f>
        <v>158313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11048.54+11856.69</f>
        <v>22905.230000000003</v>
      </c>
      <c r="I226" s="18"/>
      <c r="J226" s="18"/>
      <c r="K226" s="18"/>
      <c r="L226" s="19">
        <f t="shared" si="2"/>
        <v>22905.230000000003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181218.23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181218.23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106436</v>
      </c>
      <c r="I233" s="18"/>
      <c r="J233" s="18"/>
      <c r="K233" s="18"/>
      <c r="L233" s="19">
        <f>SUM(F233:K233)</f>
        <v>106436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12107.63</v>
      </c>
      <c r="I234" s="18"/>
      <c r="J234" s="18"/>
      <c r="K234" s="18"/>
      <c r="L234" s="19">
        <f>SUM(F234:K234)</f>
        <v>12107.63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11048.44+11856.66</f>
        <v>22905.1</v>
      </c>
      <c r="I244" s="18"/>
      <c r="J244" s="18"/>
      <c r="K244" s="18"/>
      <c r="L244" s="19">
        <f t="shared" si="4"/>
        <v>22905.1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141448.73000000001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141448.73000000001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596767.19999999995</v>
      </c>
      <c r="G257" s="41">
        <f t="shared" si="8"/>
        <v>229773.57</v>
      </c>
      <c r="H257" s="41">
        <f t="shared" si="8"/>
        <v>580376.09</v>
      </c>
      <c r="I257" s="41">
        <f t="shared" si="8"/>
        <v>43292.1</v>
      </c>
      <c r="J257" s="41">
        <f t="shared" si="8"/>
        <v>9364.26</v>
      </c>
      <c r="K257" s="41">
        <f t="shared" si="8"/>
        <v>24</v>
      </c>
      <c r="L257" s="41">
        <f t="shared" si="8"/>
        <v>1459597.22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25567.38</v>
      </c>
      <c r="L261" s="19">
        <f>SUM(F261:K261)</f>
        <v>25567.38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9693.7199999999993</v>
      </c>
      <c r="L263" s="19">
        <f>SUM(F263:K263)</f>
        <v>9693.7199999999993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25000+5000</f>
        <v>30000</v>
      </c>
      <c r="L266" s="19">
        <f t="shared" si="9"/>
        <v>30000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65261.1</v>
      </c>
      <c r="L270" s="41">
        <f t="shared" si="9"/>
        <v>65261.1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596767.19999999995</v>
      </c>
      <c r="G271" s="42">
        <f t="shared" si="11"/>
        <v>229773.57</v>
      </c>
      <c r="H271" s="42">
        <f t="shared" si="11"/>
        <v>580376.09</v>
      </c>
      <c r="I271" s="42">
        <f t="shared" si="11"/>
        <v>43292.1</v>
      </c>
      <c r="J271" s="42">
        <f t="shared" si="11"/>
        <v>9364.26</v>
      </c>
      <c r="K271" s="42">
        <f t="shared" si="11"/>
        <v>65285.1</v>
      </c>
      <c r="L271" s="42">
        <f t="shared" si="11"/>
        <v>1524858.32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12608.4+5783.45+6932.25+449.55</f>
        <v>25773.649999999998</v>
      </c>
      <c r="G276" s="18">
        <f>964.53+46.65+1007.19+230.39</f>
        <v>2248.7599999999998</v>
      </c>
      <c r="H276" s="18"/>
      <c r="I276" s="18">
        <f>190.59+1355.04</f>
        <v>1545.6299999999999</v>
      </c>
      <c r="J276" s="18">
        <f>2772+1459.28+960+12.82+11450.13+11208.46</f>
        <v>27862.69</v>
      </c>
      <c r="K276" s="18"/>
      <c r="L276" s="19">
        <f>SUM(F276:K276)</f>
        <v>57430.729999999996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172.7</v>
      </c>
      <c r="J277" s="18">
        <v>598</v>
      </c>
      <c r="K277" s="18"/>
      <c r="L277" s="19">
        <f>SUM(F277:K277)</f>
        <v>770.7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2712.5</v>
      </c>
      <c r="G279" s="18">
        <f>207.51+494.66+10.04</f>
        <v>712.21</v>
      </c>
      <c r="H279" s="18">
        <v>43.87</v>
      </c>
      <c r="I279" s="18"/>
      <c r="J279" s="18"/>
      <c r="K279" s="18"/>
      <c r="L279" s="19">
        <f>SUM(F279:K279)</f>
        <v>3468.58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270</v>
      </c>
      <c r="G281" s="18">
        <f>20.65+1</f>
        <v>21.65</v>
      </c>
      <c r="H281" s="18"/>
      <c r="I281" s="18">
        <f>344.06+50</f>
        <v>394.06</v>
      </c>
      <c r="J281" s="18"/>
      <c r="K281" s="18"/>
      <c r="L281" s="19">
        <f t="shared" ref="L281:L287" si="12">SUM(F281:K281)</f>
        <v>685.71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50</v>
      </c>
      <c r="G282" s="18">
        <f>3.83+0.19</f>
        <v>4.0200000000000005</v>
      </c>
      <c r="H282" s="18">
        <f>1070+635+400.87+2641.75+750+219+320+37.45</f>
        <v>6074.07</v>
      </c>
      <c r="I282" s="18"/>
      <c r="J282" s="18"/>
      <c r="K282" s="18"/>
      <c r="L282" s="19">
        <f t="shared" si="12"/>
        <v>6128.09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500</v>
      </c>
      <c r="I283" s="18"/>
      <c r="J283" s="18"/>
      <c r="K283" s="18"/>
      <c r="L283" s="19">
        <f t="shared" si="12"/>
        <v>500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75.02+160.56+793.49+439.01+27.05</f>
        <v>1495.1299999999999</v>
      </c>
      <c r="L285" s="19">
        <f t="shared" si="12"/>
        <v>1495.1299999999999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28806.149999999998</v>
      </c>
      <c r="G290" s="42">
        <f t="shared" si="13"/>
        <v>2986.64</v>
      </c>
      <c r="H290" s="42">
        <f t="shared" si="13"/>
        <v>6617.94</v>
      </c>
      <c r="I290" s="42">
        <f t="shared" si="13"/>
        <v>2112.39</v>
      </c>
      <c r="J290" s="42">
        <f t="shared" si="13"/>
        <v>28460.69</v>
      </c>
      <c r="K290" s="42">
        <f t="shared" si="13"/>
        <v>1495.1299999999999</v>
      </c>
      <c r="L290" s="41">
        <f t="shared" si="13"/>
        <v>70478.94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28806.149999999998</v>
      </c>
      <c r="G338" s="41">
        <f t="shared" si="20"/>
        <v>2986.64</v>
      </c>
      <c r="H338" s="41">
        <f t="shared" si="20"/>
        <v>6617.94</v>
      </c>
      <c r="I338" s="41">
        <f t="shared" si="20"/>
        <v>2112.39</v>
      </c>
      <c r="J338" s="41">
        <f t="shared" si="20"/>
        <v>28460.69</v>
      </c>
      <c r="K338" s="41">
        <f t="shared" si="20"/>
        <v>1495.1299999999999</v>
      </c>
      <c r="L338" s="41">
        <f t="shared" si="20"/>
        <v>70478.94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28806.149999999998</v>
      </c>
      <c r="G352" s="41">
        <f>G338</f>
        <v>2986.64</v>
      </c>
      <c r="H352" s="41">
        <f>H338</f>
        <v>6617.94</v>
      </c>
      <c r="I352" s="41">
        <f>I338</f>
        <v>2112.39</v>
      </c>
      <c r="J352" s="41">
        <f>J338</f>
        <v>28460.69</v>
      </c>
      <c r="K352" s="47">
        <f>K338+K351</f>
        <v>1495.1299999999999</v>
      </c>
      <c r="L352" s="41">
        <f>L338+L351</f>
        <v>70478.94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6061.16</v>
      </c>
      <c r="G358" s="18">
        <f>463.69+227.87</f>
        <v>691.56</v>
      </c>
      <c r="H358" s="18">
        <v>2941</v>
      </c>
      <c r="I358" s="18"/>
      <c r="J358" s="18"/>
      <c r="K358" s="18"/>
      <c r="L358" s="13">
        <f>SUM(F358:K358)</f>
        <v>9693.7199999999993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6061.16</v>
      </c>
      <c r="G362" s="47">
        <f t="shared" si="22"/>
        <v>691.56</v>
      </c>
      <c r="H362" s="47">
        <f t="shared" si="22"/>
        <v>2941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9693.7199999999993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>
        <v>67165.56</v>
      </c>
      <c r="L376" s="13">
        <f t="shared" si="23"/>
        <v>67165.56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>
        <v>811865.72</v>
      </c>
      <c r="L379" s="13">
        <f t="shared" si="23"/>
        <v>811865.72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879031.28</v>
      </c>
      <c r="L382" s="47">
        <f t="shared" si="24"/>
        <v>879031.28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25000</v>
      </c>
      <c r="H389" s="18">
        <v>922.82</v>
      </c>
      <c r="I389" s="18"/>
      <c r="J389" s="24" t="s">
        <v>286</v>
      </c>
      <c r="K389" s="24" t="s">
        <v>286</v>
      </c>
      <c r="L389" s="56">
        <f t="shared" si="25"/>
        <v>25922.82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922.82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25922.82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5000</v>
      </c>
      <c r="H398" s="18">
        <v>1655.97</v>
      </c>
      <c r="I398" s="18"/>
      <c r="J398" s="24" t="s">
        <v>286</v>
      </c>
      <c r="K398" s="24" t="s">
        <v>286</v>
      </c>
      <c r="L398" s="56">
        <f t="shared" si="26"/>
        <v>6655.97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1655.97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6655.97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2578.79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32578.79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86042.44</v>
      </c>
      <c r="G439" s="18">
        <v>130144.84</v>
      </c>
      <c r="H439" s="18"/>
      <c r="I439" s="56">
        <f t="shared" ref="I439:I445" si="33">SUM(F439:H439)</f>
        <v>216187.28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86042.44</v>
      </c>
      <c r="G446" s="13">
        <f>SUM(G439:G445)</f>
        <v>130144.84</v>
      </c>
      <c r="H446" s="13">
        <f>SUM(H439:H445)</f>
        <v>0</v>
      </c>
      <c r="I446" s="13">
        <f>SUM(I439:I445)</f>
        <v>216187.28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86042.44</v>
      </c>
      <c r="G459" s="18">
        <v>130144.84</v>
      </c>
      <c r="H459" s="18"/>
      <c r="I459" s="56">
        <f t="shared" si="34"/>
        <v>216187.28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86042.44</v>
      </c>
      <c r="G460" s="83">
        <f>SUM(G454:G459)</f>
        <v>130144.84</v>
      </c>
      <c r="H460" s="83">
        <f>SUM(H454:H459)</f>
        <v>0</v>
      </c>
      <c r="I460" s="83">
        <f>SUM(I454:I459)</f>
        <v>216187.28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86042.44</v>
      </c>
      <c r="G461" s="42">
        <f>G452+G460</f>
        <v>130144.84</v>
      </c>
      <c r="H461" s="42">
        <f>H452+H460</f>
        <v>0</v>
      </c>
      <c r="I461" s="42">
        <f>I452+I460</f>
        <v>216187.28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295557.78000000003</v>
      </c>
      <c r="G465" s="18">
        <v>0</v>
      </c>
      <c r="H465" s="18">
        <v>9730.49</v>
      </c>
      <c r="I465" s="18">
        <v>0</v>
      </c>
      <c r="J465" s="18">
        <f>123488.87+60119.62</f>
        <v>183608.49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1471053.97</v>
      </c>
      <c r="G468" s="18">
        <v>9693.7199999999993</v>
      </c>
      <c r="H468" s="18">
        <v>70749.070000000007</v>
      </c>
      <c r="I468" s="18">
        <v>1008465.73</v>
      </c>
      <c r="J468" s="18">
        <f>5000+1655.97+25000+922.82</f>
        <v>32578.79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1471053.97</v>
      </c>
      <c r="G470" s="53">
        <f>SUM(G468:G469)</f>
        <v>9693.7199999999993</v>
      </c>
      <c r="H470" s="53">
        <f>SUM(H468:H469)</f>
        <v>70749.070000000007</v>
      </c>
      <c r="I470" s="53">
        <f>SUM(I468:I469)</f>
        <v>1008465.73</v>
      </c>
      <c r="J470" s="53">
        <f>SUM(J468:J469)</f>
        <v>32578.79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1524858.32</v>
      </c>
      <c r="G472" s="18">
        <v>9693.7199999999993</v>
      </c>
      <c r="H472" s="18">
        <v>70478.94</v>
      </c>
      <c r="I472" s="18">
        <v>879031.28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1524858.32</v>
      </c>
      <c r="G474" s="53">
        <f>SUM(G472:G473)</f>
        <v>9693.7199999999993</v>
      </c>
      <c r="H474" s="53">
        <f>SUM(H472:H473)</f>
        <v>70478.94</v>
      </c>
      <c r="I474" s="53">
        <f>SUM(I472:I473)</f>
        <v>879031.28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241753.42999999993</v>
      </c>
      <c r="G476" s="53">
        <f>(G465+G470)- G474</f>
        <v>0</v>
      </c>
      <c r="H476" s="53">
        <f>(H465+H470)- H474</f>
        <v>10000.62000000001</v>
      </c>
      <c r="I476" s="53">
        <f>(I465+I470)- I474</f>
        <v>129434.44999999995</v>
      </c>
      <c r="J476" s="53">
        <f>(J465+J470)- J474</f>
        <v>216187.28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49699.98+113442.64</f>
        <v>163142.62</v>
      </c>
      <c r="G521" s="18">
        <f>53344.68+2476.2+507.78+526.48+11235.92+7759.96+603.59</f>
        <v>76454.61</v>
      </c>
      <c r="H521" s="18">
        <v>0</v>
      </c>
      <c r="I521" s="18">
        <f>446.16+172.7</f>
        <v>618.86</v>
      </c>
      <c r="J521" s="18">
        <v>598</v>
      </c>
      <c r="K521" s="18"/>
      <c r="L521" s="88">
        <f>SUM(F521:K521)</f>
        <v>240814.08999999997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12107.63</v>
      </c>
      <c r="I523" s="18"/>
      <c r="J523" s="18"/>
      <c r="K523" s="18"/>
      <c r="L523" s="88">
        <f>SUM(F523:K523)</f>
        <v>12107.63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163142.62</v>
      </c>
      <c r="G524" s="108">
        <f t="shared" ref="G524:L524" si="36">SUM(G521:G523)</f>
        <v>76454.61</v>
      </c>
      <c r="H524" s="108">
        <f t="shared" si="36"/>
        <v>12107.63</v>
      </c>
      <c r="I524" s="108">
        <f t="shared" si="36"/>
        <v>618.86</v>
      </c>
      <c r="J524" s="108">
        <f t="shared" si="36"/>
        <v>598</v>
      </c>
      <c r="K524" s="108">
        <f t="shared" si="36"/>
        <v>0</v>
      </c>
      <c r="L524" s="89">
        <f t="shared" si="36"/>
        <v>252921.71999999997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16381.54+270+50</f>
        <v>16701.54</v>
      </c>
      <c r="G526" s="18">
        <f>1253.13+60.56+20.65+1+3.83+0.19</f>
        <v>1339.3600000000001</v>
      </c>
      <c r="H526" s="18">
        <f>14045.01+147.66+4320+1815.04+6729.12+750+219+320+37.45</f>
        <v>28383.279999999999</v>
      </c>
      <c r="I526" s="18">
        <f>97.67+344.06</f>
        <v>441.73</v>
      </c>
      <c r="J526" s="18"/>
      <c r="K526" s="18"/>
      <c r="L526" s="88">
        <f>SUM(F526:K526)</f>
        <v>46865.91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16701.54</v>
      </c>
      <c r="G529" s="89">
        <f t="shared" ref="G529:L529" si="37">SUM(G526:G528)</f>
        <v>1339.3600000000001</v>
      </c>
      <c r="H529" s="89">
        <f t="shared" si="37"/>
        <v>28383.279999999999</v>
      </c>
      <c r="I529" s="89">
        <f t="shared" si="37"/>
        <v>441.73</v>
      </c>
      <c r="J529" s="89">
        <f t="shared" si="37"/>
        <v>0</v>
      </c>
      <c r="K529" s="89">
        <f t="shared" si="37"/>
        <v>0</v>
      </c>
      <c r="L529" s="89">
        <f t="shared" si="37"/>
        <v>46865.91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7564</v>
      </c>
      <c r="I531" s="18"/>
      <c r="J531" s="18"/>
      <c r="K531" s="18">
        <f>439.01+27.05</f>
        <v>466.06</v>
      </c>
      <c r="L531" s="88">
        <f>SUM(F531:K531)</f>
        <v>8030.06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7564</v>
      </c>
      <c r="I534" s="89">
        <f t="shared" si="38"/>
        <v>0</v>
      </c>
      <c r="J534" s="89">
        <f t="shared" si="38"/>
        <v>0</v>
      </c>
      <c r="K534" s="89">
        <f t="shared" si="38"/>
        <v>466.06</v>
      </c>
      <c r="L534" s="89">
        <f t="shared" si="38"/>
        <v>8030.06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179844.16</v>
      </c>
      <c r="G545" s="89">
        <f t="shared" ref="G545:L545" si="41">G524+G529+G534+G539+G544</f>
        <v>77793.97</v>
      </c>
      <c r="H545" s="89">
        <f t="shared" si="41"/>
        <v>48054.909999999996</v>
      </c>
      <c r="I545" s="89">
        <f t="shared" si="41"/>
        <v>1060.5900000000001</v>
      </c>
      <c r="J545" s="89">
        <f t="shared" si="41"/>
        <v>598</v>
      </c>
      <c r="K545" s="89">
        <f t="shared" si="41"/>
        <v>466.06</v>
      </c>
      <c r="L545" s="89">
        <f t="shared" si="41"/>
        <v>307817.69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240814.08999999997</v>
      </c>
      <c r="G549" s="87">
        <f>L526</f>
        <v>46865.91</v>
      </c>
      <c r="H549" s="87">
        <f>L531</f>
        <v>8030.06</v>
      </c>
      <c r="I549" s="87">
        <f>L536</f>
        <v>0</v>
      </c>
      <c r="J549" s="87">
        <f>L541</f>
        <v>0</v>
      </c>
      <c r="K549" s="87">
        <f>SUM(F549:J549)</f>
        <v>295710.06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12107.63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12107.63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252921.71999999997</v>
      </c>
      <c r="G552" s="89">
        <f t="shared" si="42"/>
        <v>46865.91</v>
      </c>
      <c r="H552" s="89">
        <f t="shared" si="42"/>
        <v>8030.06</v>
      </c>
      <c r="I552" s="89">
        <f t="shared" si="42"/>
        <v>0</v>
      </c>
      <c r="J552" s="89">
        <f t="shared" si="42"/>
        <v>0</v>
      </c>
      <c r="K552" s="89">
        <f t="shared" si="42"/>
        <v>307817.69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158313</v>
      </c>
      <c r="H575" s="18">
        <v>106436</v>
      </c>
      <c r="I575" s="87">
        <f>SUM(F575:H575)</f>
        <v>264749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12107.63</v>
      </c>
      <c r="I579" s="87">
        <f t="shared" si="47"/>
        <v>12107.63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22097.08</v>
      </c>
      <c r="I591" s="18">
        <v>11048.54</v>
      </c>
      <c r="J591" s="18">
        <v>11048.44</v>
      </c>
      <c r="K591" s="104">
        <f t="shared" ref="K591:K597" si="48">SUM(H591:J591)</f>
        <v>44194.060000000005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1150</v>
      </c>
      <c r="I595" s="18"/>
      <c r="J595" s="18"/>
      <c r="K595" s="104">
        <f t="shared" si="48"/>
        <v>1150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23713.35</v>
      </c>
      <c r="I597" s="18">
        <v>11856.69</v>
      </c>
      <c r="J597" s="18">
        <v>11856.66</v>
      </c>
      <c r="K597" s="104">
        <f t="shared" si="48"/>
        <v>47426.7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46960.43</v>
      </c>
      <c r="I598" s="108">
        <f>SUM(I591:I597)</f>
        <v>22905.230000000003</v>
      </c>
      <c r="J598" s="108">
        <f>SUM(J591:J597)</f>
        <v>22905.1</v>
      </c>
      <c r="K598" s="108">
        <f>SUM(K591:K597)</f>
        <v>92770.760000000009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1138.3+2772+1459.28+960+12.82+11450.13+11208.46+598+862.83+939.98+6423.15</f>
        <v>37824.949999999997</v>
      </c>
      <c r="I604" s="18"/>
      <c r="J604" s="18"/>
      <c r="K604" s="104">
        <f>SUM(H604:J604)</f>
        <v>37824.949999999997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37824.949999999997</v>
      </c>
      <c r="I605" s="108">
        <f>SUM(I602:I604)</f>
        <v>0</v>
      </c>
      <c r="J605" s="108">
        <f>SUM(J602:J604)</f>
        <v>0</v>
      </c>
      <c r="K605" s="108">
        <f>SUM(K602:K604)</f>
        <v>37824.949999999997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2712.5</v>
      </c>
      <c r="G611" s="18">
        <f>207.51+494.66+10.04+43.87</f>
        <v>756.08</v>
      </c>
      <c r="H611" s="18"/>
      <c r="I611" s="18"/>
      <c r="J611" s="18"/>
      <c r="K611" s="18"/>
      <c r="L611" s="88">
        <f>SUM(F611:K611)</f>
        <v>3468.58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2712.5</v>
      </c>
      <c r="G614" s="108">
        <f t="shared" si="49"/>
        <v>756.08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3468.58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257220</v>
      </c>
      <c r="H617" s="109">
        <f>SUM(F52)</f>
        <v>257220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15577.630000000001</v>
      </c>
      <c r="H619" s="109">
        <f>SUM(H52)</f>
        <v>15577.630000000001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130031.93</v>
      </c>
      <c r="H620" s="109">
        <f>SUM(I52)</f>
        <v>130031.93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216187.28</v>
      </c>
      <c r="H621" s="109">
        <f>SUM(J52)</f>
        <v>216187.28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241753.43</v>
      </c>
      <c r="H622" s="109">
        <f>F476</f>
        <v>241753.42999999993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10000.620000000001</v>
      </c>
      <c r="H624" s="109">
        <f>H476</f>
        <v>10000.62000000001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129434.45</v>
      </c>
      <c r="H625" s="109">
        <f>I476</f>
        <v>129434.44999999995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216187.28</v>
      </c>
      <c r="H626" s="109">
        <f>J476</f>
        <v>216187.28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1471053.97</v>
      </c>
      <c r="H627" s="104">
        <f>SUM(F468)</f>
        <v>1471053.97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9693.7199999999993</v>
      </c>
      <c r="H628" s="104">
        <f>SUM(G468)</f>
        <v>9693.7199999999993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70749.070000000007</v>
      </c>
      <c r="H629" s="104">
        <f>SUM(H468)</f>
        <v>70749.070000000007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1008465.73</v>
      </c>
      <c r="H630" s="104">
        <f>SUM(I468)</f>
        <v>1008465.73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32578.79</v>
      </c>
      <c r="H631" s="104">
        <f>SUM(J468)</f>
        <v>32578.79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1524858.32</v>
      </c>
      <c r="H632" s="104">
        <f>SUM(F472)</f>
        <v>1524858.32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70478.94</v>
      </c>
      <c r="H633" s="104">
        <f>SUM(H472)</f>
        <v>70478.94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9693.7199999999993</v>
      </c>
      <c r="H635" s="104">
        <f>SUM(G472)</f>
        <v>9693.7199999999993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879031.28</v>
      </c>
      <c r="H636" s="104">
        <f>SUM(I472)</f>
        <v>879031.28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32578.79</v>
      </c>
      <c r="H637" s="164">
        <f>SUM(J468)</f>
        <v>32578.79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86042.44</v>
      </c>
      <c r="H639" s="104">
        <f>SUM(F461)</f>
        <v>86042.44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130144.84</v>
      </c>
      <c r="H640" s="104">
        <f>SUM(G461)</f>
        <v>130144.84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216187.28</v>
      </c>
      <c r="H642" s="104">
        <f>SUM(I461)</f>
        <v>216187.28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2578.79</v>
      </c>
      <c r="H644" s="104">
        <f>H408</f>
        <v>2578.79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30000</v>
      </c>
      <c r="H645" s="104">
        <f>G408</f>
        <v>30000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32578.79</v>
      </c>
      <c r="H646" s="104">
        <f>L408</f>
        <v>32578.79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92770.760000000009</v>
      </c>
      <c r="H647" s="104">
        <f>L208+L226+L244</f>
        <v>92770.760000000009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37824.949999999997</v>
      </c>
      <c r="H648" s="104">
        <f>(J257+J338)-(J255+J336)</f>
        <v>37824.949999999997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46960.43</v>
      </c>
      <c r="H649" s="104">
        <f>H598</f>
        <v>46960.43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22905.230000000003</v>
      </c>
      <c r="H650" s="104">
        <f>I598</f>
        <v>22905.230000000003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22905.1</v>
      </c>
      <c r="H651" s="104">
        <f>J598</f>
        <v>22905.1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9693.7199999999993</v>
      </c>
      <c r="H652" s="104">
        <f>K263+K345</f>
        <v>9693.7199999999993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30000</v>
      </c>
      <c r="H655" s="104">
        <f>K266+K347</f>
        <v>30000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1217102.92</v>
      </c>
      <c r="G660" s="19">
        <f>(L229+L309+L359)</f>
        <v>181218.23</v>
      </c>
      <c r="H660" s="19">
        <f>(L247+L328+L360)</f>
        <v>141448.73000000001</v>
      </c>
      <c r="I660" s="19">
        <f>SUM(F660:H660)</f>
        <v>1539769.88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46960.43</v>
      </c>
      <c r="G662" s="19">
        <f>(L226+L306)-(J226+J306)</f>
        <v>22905.230000000003</v>
      </c>
      <c r="H662" s="19">
        <f>(L244+L325)-(J244+J325)</f>
        <v>22905.1</v>
      </c>
      <c r="I662" s="19">
        <f>SUM(F662:H662)</f>
        <v>92770.760000000009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41293.53</v>
      </c>
      <c r="G663" s="199">
        <f>SUM(G575:G587)+SUM(I602:I604)+L612</f>
        <v>158313</v>
      </c>
      <c r="H663" s="199">
        <f>SUM(H575:H587)+SUM(J602:J604)+L613</f>
        <v>118543.63</v>
      </c>
      <c r="I663" s="19">
        <f>SUM(F663:H663)</f>
        <v>318150.16000000003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1128848.96</v>
      </c>
      <c r="G664" s="19">
        <f>G660-SUM(G661:G663)</f>
        <v>0</v>
      </c>
      <c r="H664" s="19">
        <f>H660-SUM(H661:H663)</f>
        <v>0</v>
      </c>
      <c r="I664" s="19">
        <f>I660-SUM(I661:I663)</f>
        <v>1128848.96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69.11</v>
      </c>
      <c r="G665" s="248"/>
      <c r="H665" s="248"/>
      <c r="I665" s="19">
        <f>SUM(F665:H665)</f>
        <v>69.11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16334.09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16334.09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16334.09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16334.09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zoomScale="130" zoomScaleNormal="130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Nelson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292097.94</v>
      </c>
      <c r="C9" s="229">
        <f>'DOE25'!G197+'DOE25'!G215+'DOE25'!G233+'DOE25'!G276+'DOE25'!G295+'DOE25'!G314</f>
        <v>87014.43</v>
      </c>
    </row>
    <row r="10" spans="1:3" x14ac:dyDescent="0.2">
      <c r="A10" t="s">
        <v>773</v>
      </c>
      <c r="B10" s="240">
        <f>262133.91+5783.45</f>
        <v>267917.36</v>
      </c>
      <c r="C10" s="240">
        <v>81193.37</v>
      </c>
    </row>
    <row r="11" spans="1:3" x14ac:dyDescent="0.2">
      <c r="A11" t="s">
        <v>774</v>
      </c>
      <c r="B11" s="240">
        <f>12608.4+6932.25</f>
        <v>19540.650000000001</v>
      </c>
      <c r="C11" s="240">
        <v>5821.06</v>
      </c>
    </row>
    <row r="12" spans="1:3" x14ac:dyDescent="0.2">
      <c r="A12" t="s">
        <v>775</v>
      </c>
      <c r="B12" s="240">
        <f>4190.38+449.55</f>
        <v>4639.93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292097.94</v>
      </c>
      <c r="C13" s="231">
        <f>SUM(C10:C12)</f>
        <v>87014.43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163142.62</v>
      </c>
      <c r="C18" s="229">
        <f>'DOE25'!G198+'DOE25'!G216+'DOE25'!G234+'DOE25'!G277+'DOE25'!G296+'DOE25'!G315</f>
        <v>76454.61</v>
      </c>
    </row>
    <row r="19" spans="1:3" x14ac:dyDescent="0.2">
      <c r="A19" t="s">
        <v>773</v>
      </c>
      <c r="B19" s="240">
        <v>49699.98</v>
      </c>
      <c r="C19" s="240">
        <v>23291.23</v>
      </c>
    </row>
    <row r="20" spans="1:3" x14ac:dyDescent="0.2">
      <c r="A20" t="s">
        <v>774</v>
      </c>
      <c r="B20" s="240">
        <v>113442.64</v>
      </c>
      <c r="C20" s="240">
        <v>53163.38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163142.62</v>
      </c>
      <c r="C22" s="231">
        <f>SUM(C19:C21)</f>
        <v>76454.61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3927.5</v>
      </c>
      <c r="C36" s="235">
        <f>'DOE25'!G200+'DOE25'!G218+'DOE25'!G236+'DOE25'!G279+'DOE25'!G298+'DOE25'!G317</f>
        <v>997.09</v>
      </c>
    </row>
    <row r="37" spans="1:3" x14ac:dyDescent="0.2">
      <c r="A37" t="s">
        <v>773</v>
      </c>
      <c r="B37" s="240">
        <v>3927.5</v>
      </c>
      <c r="C37" s="240">
        <v>997.09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3927.5</v>
      </c>
      <c r="C40" s="231">
        <f>SUM(C37:C39)</f>
        <v>997.09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Nelson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905005.38</v>
      </c>
      <c r="D5" s="20">
        <f>SUM('DOE25'!L197:L200)+SUM('DOE25'!L215:L218)+SUM('DOE25'!L233:L236)-F5-G5</f>
        <v>903867.08</v>
      </c>
      <c r="E5" s="243"/>
      <c r="F5" s="255">
        <f>SUM('DOE25'!J197:J200)+SUM('DOE25'!J215:J218)+SUM('DOE25'!J233:J236)</f>
        <v>1138.3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66460.540000000008</v>
      </c>
      <c r="D6" s="20">
        <f>'DOE25'!L202+'DOE25'!L220+'DOE25'!L238-F6-G6</f>
        <v>66460.540000000008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11697.4</v>
      </c>
      <c r="D7" s="20">
        <f>'DOE25'!L203+'DOE25'!L221+'DOE25'!L239-F7-G7</f>
        <v>11697.4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100621.00000000001</v>
      </c>
      <c r="D8" s="243"/>
      <c r="E8" s="20">
        <f>'DOE25'!L204+'DOE25'!L222+'DOE25'!L240-F8-G8-D9-D11</f>
        <v>99734.170000000013</v>
      </c>
      <c r="F8" s="255">
        <f>'DOE25'!J204+'DOE25'!J222+'DOE25'!J240</f>
        <v>862.83</v>
      </c>
      <c r="G8" s="53">
        <f>'DOE25'!K204+'DOE25'!K222+'DOE25'!K240</f>
        <v>24</v>
      </c>
      <c r="H8" s="259"/>
    </row>
    <row r="9" spans="1:9" x14ac:dyDescent="0.2">
      <c r="A9" s="32">
        <v>2310</v>
      </c>
      <c r="B9" t="s">
        <v>812</v>
      </c>
      <c r="C9" s="245">
        <f t="shared" si="0"/>
        <v>5101.76</v>
      </c>
      <c r="D9" s="244">
        <v>5101.76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17100</v>
      </c>
      <c r="D11" s="244">
        <v>17100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184826.04000000004</v>
      </c>
      <c r="D12" s="20">
        <f>'DOE25'!L205+'DOE25'!L223+'DOE25'!L241-F12-G12</f>
        <v>183886.06000000003</v>
      </c>
      <c r="E12" s="243"/>
      <c r="F12" s="255">
        <f>'DOE25'!J205+'DOE25'!J223+'DOE25'!J241</f>
        <v>939.98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75735.839999999997</v>
      </c>
      <c r="D14" s="20">
        <f>'DOE25'!L207+'DOE25'!L225+'DOE25'!L243-F14-G14</f>
        <v>69312.69</v>
      </c>
      <c r="E14" s="243"/>
      <c r="F14" s="255">
        <f>'DOE25'!J207+'DOE25'!J225+'DOE25'!J243</f>
        <v>6423.15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92770.760000000009</v>
      </c>
      <c r="D15" s="20">
        <f>'DOE25'!L208+'DOE25'!L226+'DOE25'!L244-F15-G15</f>
        <v>92770.760000000009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278.5</v>
      </c>
      <c r="D16" s="243"/>
      <c r="E16" s="20">
        <f>'DOE25'!L209+'DOE25'!L227+'DOE25'!L245-F16-G16</f>
        <v>278.5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25567.38</v>
      </c>
      <c r="D25" s="243"/>
      <c r="E25" s="243"/>
      <c r="F25" s="258"/>
      <c r="G25" s="256"/>
      <c r="H25" s="257">
        <f>'DOE25'!L260+'DOE25'!L261+'DOE25'!L341+'DOE25'!L342</f>
        <v>25567.38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9693.7199999999993</v>
      </c>
      <c r="D29" s="20">
        <f>'DOE25'!L358+'DOE25'!L359+'DOE25'!L360-'DOE25'!I367-F29-G29</f>
        <v>9693.7199999999993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70478.94</v>
      </c>
      <c r="D31" s="20">
        <f>'DOE25'!L290+'DOE25'!L309+'DOE25'!L328+'DOE25'!L333+'DOE25'!L334+'DOE25'!L335-F31-G31</f>
        <v>40523.120000000003</v>
      </c>
      <c r="E31" s="243"/>
      <c r="F31" s="255">
        <f>'DOE25'!J290+'DOE25'!J309+'DOE25'!J328+'DOE25'!J333+'DOE25'!J334+'DOE25'!J335</f>
        <v>28460.69</v>
      </c>
      <c r="G31" s="53">
        <f>'DOE25'!K290+'DOE25'!K309+'DOE25'!K328+'DOE25'!K333+'DOE25'!K334+'DOE25'!K335</f>
        <v>1495.1299999999999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1400413.1300000001</v>
      </c>
      <c r="E33" s="246">
        <f>SUM(E5:E31)</f>
        <v>107612.67000000001</v>
      </c>
      <c r="F33" s="246">
        <f>SUM(F5:F31)</f>
        <v>37824.949999999997</v>
      </c>
      <c r="G33" s="246">
        <f>SUM(G5:G31)</f>
        <v>1519.1299999999999</v>
      </c>
      <c r="H33" s="246">
        <f>SUM(H5:H31)</f>
        <v>25567.38</v>
      </c>
    </row>
    <row r="35" spans="2:8" ht="12" thickBot="1" x14ac:dyDescent="0.25">
      <c r="B35" s="253" t="s">
        <v>841</v>
      </c>
      <c r="D35" s="254">
        <f>E33</f>
        <v>107612.67000000001</v>
      </c>
      <c r="E35" s="249"/>
    </row>
    <row r="36" spans="2:8" ht="12" thickTop="1" x14ac:dyDescent="0.2">
      <c r="B36" t="s">
        <v>809</v>
      </c>
      <c r="D36" s="20">
        <f>D33</f>
        <v>1400413.1300000001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221297.41</v>
      </c>
      <c r="D8" s="95">
        <f>'DOE25'!G9</f>
        <v>0</v>
      </c>
      <c r="E8" s="95">
        <f>'DOE25'!H9</f>
        <v>10000.620000000001</v>
      </c>
      <c r="F8" s="95">
        <f>'DOE25'!I9</f>
        <v>130031.93</v>
      </c>
      <c r="G8" s="95">
        <f>'DOE25'!J9</f>
        <v>216187.28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2418.66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30719.46</v>
      </c>
      <c r="D12" s="95">
        <f>'DOE25'!G13</f>
        <v>0</v>
      </c>
      <c r="E12" s="95">
        <f>'DOE25'!H13</f>
        <v>5577.01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2284.4699999999998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257220</v>
      </c>
      <c r="D18" s="41">
        <f>SUM(D8:D17)</f>
        <v>0</v>
      </c>
      <c r="E18" s="41">
        <f>SUM(E8:E17)</f>
        <v>15577.630000000001</v>
      </c>
      <c r="F18" s="41">
        <f>SUM(F8:F17)</f>
        <v>130031.93</v>
      </c>
      <c r="G18" s="41">
        <f>SUM(G8:G17)</f>
        <v>216187.28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2418.66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3602.62</v>
      </c>
      <c r="D22" s="95">
        <f>'DOE25'!G23</f>
        <v>0</v>
      </c>
      <c r="E22" s="95">
        <f>'DOE25'!H23</f>
        <v>454.73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9579.48</v>
      </c>
      <c r="D23" s="95">
        <f>'DOE25'!G24</f>
        <v>0</v>
      </c>
      <c r="E23" s="95">
        <f>'DOE25'!H24</f>
        <v>2703.62</v>
      </c>
      <c r="F23" s="95">
        <f>'DOE25'!I24</f>
        <v>597.48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2284.4699999999998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15466.569999999998</v>
      </c>
      <c r="D31" s="41">
        <f>SUM(D21:D30)</f>
        <v>0</v>
      </c>
      <c r="E31" s="41">
        <f>SUM(E21:E30)</f>
        <v>5577.01</v>
      </c>
      <c r="F31" s="41">
        <f>SUM(F21:F30)</f>
        <v>597.48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500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96671.75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62500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240</v>
      </c>
      <c r="D44" s="95">
        <f>'DOE25'!G45</f>
        <v>0</v>
      </c>
      <c r="E44" s="95">
        <f>'DOE25'!H45</f>
        <v>0</v>
      </c>
      <c r="F44" s="95">
        <f>'DOE25'!I45</f>
        <v>32762.7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10000.620000000001</v>
      </c>
      <c r="F47" s="95">
        <f>'DOE25'!I48</f>
        <v>0</v>
      </c>
      <c r="G47" s="95">
        <f>'DOE25'!J48</f>
        <v>216187.28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178513.43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241753.43</v>
      </c>
      <c r="D50" s="41">
        <f>SUM(D34:D49)</f>
        <v>0</v>
      </c>
      <c r="E50" s="41">
        <f>SUM(E34:E49)</f>
        <v>10000.620000000001</v>
      </c>
      <c r="F50" s="41">
        <f>SUM(F34:F49)</f>
        <v>129434.45</v>
      </c>
      <c r="G50" s="41">
        <f>SUM(G34:G49)</f>
        <v>216187.28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257220</v>
      </c>
      <c r="D51" s="41">
        <f>D50+D31</f>
        <v>0</v>
      </c>
      <c r="E51" s="41">
        <f>E50+E31</f>
        <v>15577.630000000001</v>
      </c>
      <c r="F51" s="41">
        <f>F50+F31</f>
        <v>130031.93</v>
      </c>
      <c r="G51" s="41">
        <f>G50+G31</f>
        <v>216187.28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666870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488314.64</v>
      </c>
      <c r="D57" s="24" t="s">
        <v>286</v>
      </c>
      <c r="E57" s="95">
        <f>'DOE25'!H79</f>
        <v>16028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99.92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2578.79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37699.980000000003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526114.54</v>
      </c>
      <c r="D62" s="130">
        <f>SUM(D57:D61)</f>
        <v>0</v>
      </c>
      <c r="E62" s="130">
        <f>SUM(E57:E61)</f>
        <v>16028</v>
      </c>
      <c r="F62" s="130">
        <f>SUM(F57:F61)</f>
        <v>0</v>
      </c>
      <c r="G62" s="130">
        <f>SUM(G57:G61)</f>
        <v>2578.79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1192984.54</v>
      </c>
      <c r="D63" s="22">
        <f>D56+D62</f>
        <v>0</v>
      </c>
      <c r="E63" s="22">
        <f>E56+E62</f>
        <v>16028</v>
      </c>
      <c r="F63" s="22">
        <f>F56+F62</f>
        <v>0</v>
      </c>
      <c r="G63" s="22">
        <f>G56+G62</f>
        <v>2578.79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276979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276979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276979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14953.279999999999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1090.43</v>
      </c>
      <c r="D88" s="95">
        <f>SUM('DOE25'!G153:G161)</f>
        <v>0</v>
      </c>
      <c r="E88" s="95">
        <f>SUM('DOE25'!H153:H161)</f>
        <v>39767.790000000008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1090.43</v>
      </c>
      <c r="D91" s="131">
        <f>SUM(D85:D90)</f>
        <v>0</v>
      </c>
      <c r="E91" s="131">
        <f>SUM(E85:E90)</f>
        <v>54721.070000000007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1008465.73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9693.7199999999993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9693.7199999999993</v>
      </c>
      <c r="E103" s="86">
        <f>SUM(E93:E102)</f>
        <v>0</v>
      </c>
      <c r="F103" s="86">
        <f>SUM(F93:F102)</f>
        <v>1008465.73</v>
      </c>
      <c r="G103" s="86">
        <f>SUM(G93:G102)</f>
        <v>30000</v>
      </c>
    </row>
    <row r="104" spans="1:7" ht="12.75" thickTop="1" thickBot="1" x14ac:dyDescent="0.25">
      <c r="A104" s="33" t="s">
        <v>759</v>
      </c>
      <c r="C104" s="86">
        <f>C63+C81+C91+C103</f>
        <v>1471053.97</v>
      </c>
      <c r="D104" s="86">
        <f>D63+D81+D91+D103</f>
        <v>9693.7199999999993</v>
      </c>
      <c r="E104" s="86">
        <f>E63+E81+E91+E103</f>
        <v>70749.070000000007</v>
      </c>
      <c r="F104" s="86">
        <f>F63+F81+F91+F103</f>
        <v>1008465.73</v>
      </c>
      <c r="G104" s="86">
        <f>G63+G81+G103</f>
        <v>32578.79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650829.1</v>
      </c>
      <c r="D109" s="24" t="s">
        <v>286</v>
      </c>
      <c r="E109" s="95">
        <f>('DOE25'!L276)+('DOE25'!L295)+('DOE25'!L314)</f>
        <v>57430.729999999996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252151.02</v>
      </c>
      <c r="D110" s="24" t="s">
        <v>286</v>
      </c>
      <c r="E110" s="95">
        <f>('DOE25'!L277)+('DOE25'!L296)+('DOE25'!L315)</f>
        <v>770.7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2025.2600000000002</v>
      </c>
      <c r="D112" s="24" t="s">
        <v>286</v>
      </c>
      <c r="E112" s="95">
        <f>+('DOE25'!L279)+('DOE25'!L298)+('DOE25'!L317)</f>
        <v>3468.58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905005.38</v>
      </c>
      <c r="D115" s="86">
        <f>SUM(D109:D114)</f>
        <v>0</v>
      </c>
      <c r="E115" s="86">
        <f>SUM(E109:E114)</f>
        <v>61670.009999999995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66460.540000000008</v>
      </c>
      <c r="D118" s="24" t="s">
        <v>286</v>
      </c>
      <c r="E118" s="95">
        <f>+('DOE25'!L281)+('DOE25'!L300)+('DOE25'!L319)</f>
        <v>685.71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11697.4</v>
      </c>
      <c r="D119" s="24" t="s">
        <v>286</v>
      </c>
      <c r="E119" s="95">
        <f>+('DOE25'!L282)+('DOE25'!L301)+('DOE25'!L320)</f>
        <v>6128.09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122822.76000000001</v>
      </c>
      <c r="D120" s="24" t="s">
        <v>286</v>
      </c>
      <c r="E120" s="95">
        <f>+('DOE25'!L283)+('DOE25'!L302)+('DOE25'!L321)</f>
        <v>500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184826.04000000004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1495.1299999999999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75735.839999999997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92770.760000000009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278.5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9693.7199999999993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554591.84000000008</v>
      </c>
      <c r="D128" s="86">
        <f>SUM(D118:D127)</f>
        <v>9693.7199999999993</v>
      </c>
      <c r="E128" s="86">
        <f>SUM(E118:E127)</f>
        <v>8808.93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879031.28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25567.38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9693.7199999999993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25922.82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6655.97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-2578.7900000000009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65261.1</v>
      </c>
      <c r="D144" s="141">
        <f>SUM(D130:D143)</f>
        <v>0</v>
      </c>
      <c r="E144" s="141">
        <f>SUM(E130:E143)</f>
        <v>0</v>
      </c>
      <c r="F144" s="141">
        <f>SUM(F130:F143)</f>
        <v>879031.28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1524858.3200000003</v>
      </c>
      <c r="D145" s="86">
        <f>(D115+D128+D144)</f>
        <v>9693.7199999999993</v>
      </c>
      <c r="E145" s="86">
        <f>(E115+E128+E144)</f>
        <v>70478.94</v>
      </c>
      <c r="F145" s="86">
        <f>(F115+F128+F144)</f>
        <v>879031.28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Nelson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16334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16334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708260</v>
      </c>
      <c r="D10" s="182">
        <f>ROUND((C10/$C$28)*100,1)</f>
        <v>45.2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252922</v>
      </c>
      <c r="D11" s="182">
        <f>ROUND((C11/$C$28)*100,1)</f>
        <v>16.2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5494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67146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17825</v>
      </c>
      <c r="D16" s="182">
        <f t="shared" si="0"/>
        <v>1.1000000000000001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123601</v>
      </c>
      <c r="D17" s="182">
        <f t="shared" si="0"/>
        <v>7.9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184826</v>
      </c>
      <c r="D18" s="182">
        <f t="shared" si="0"/>
        <v>11.8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1495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75736</v>
      </c>
      <c r="D20" s="182">
        <f t="shared" si="0"/>
        <v>4.8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92771</v>
      </c>
      <c r="D21" s="182">
        <f t="shared" si="0"/>
        <v>5.9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25567</v>
      </c>
      <c r="D25" s="182">
        <f t="shared" si="0"/>
        <v>1.6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9694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1565337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879031</v>
      </c>
    </row>
    <row r="30" spans="1:4" x14ac:dyDescent="0.2">
      <c r="B30" s="187" t="s">
        <v>723</v>
      </c>
      <c r="C30" s="180">
        <f>SUM(C28:C29)</f>
        <v>2444368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666870</v>
      </c>
      <c r="D35" s="182">
        <f t="shared" ref="D35:D40" si="1">ROUND((C35/$C$41)*100,1)</f>
        <v>42.9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553187.06000000006</v>
      </c>
      <c r="D36" s="182">
        <f t="shared" si="1"/>
        <v>35.6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276979</v>
      </c>
      <c r="D37" s="182">
        <f t="shared" si="1"/>
        <v>17.8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55812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1552848.06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1000000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Nelson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2018-08-31T11:45:35Z</cp:lastPrinted>
  <dcterms:created xsi:type="dcterms:W3CDTF">1997-12-04T19:04:30Z</dcterms:created>
  <dcterms:modified xsi:type="dcterms:W3CDTF">2018-11-30T15:41:39Z</dcterms:modified>
</cp:coreProperties>
</file>