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435" yWindow="-15" windowWidth="12480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F473" i="1" l="1"/>
  <c r="H469" i="1" l="1"/>
  <c r="G13" i="1"/>
  <c r="G35" i="1" l="1"/>
  <c r="G16" i="1"/>
  <c r="G9" i="1"/>
  <c r="F13" i="1" l="1"/>
  <c r="F2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22" i="2" s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D18" i="13" s="1"/>
  <c r="C18" i="13" s="1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E111" i="2" s="1"/>
  <c r="L298" i="1"/>
  <c r="E112" i="2" s="1"/>
  <c r="L300" i="1"/>
  <c r="E118" i="2" s="1"/>
  <c r="L301" i="1"/>
  <c r="L302" i="1"/>
  <c r="L303" i="1"/>
  <c r="L304" i="1"/>
  <c r="L305" i="1"/>
  <c r="L306" i="1"/>
  <c r="E124" i="2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I169" i="1" s="1"/>
  <c r="L250" i="1"/>
  <c r="L332" i="1"/>
  <c r="L254" i="1"/>
  <c r="L268" i="1"/>
  <c r="L269" i="1"/>
  <c r="C143" i="2" s="1"/>
  <c r="L349" i="1"/>
  <c r="E142" i="2" s="1"/>
  <c r="L350" i="1"/>
  <c r="E143" i="2" s="1"/>
  <c r="I665" i="1"/>
  <c r="I670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3" i="2"/>
  <c r="E113" i="2"/>
  <c r="C114" i="2"/>
  <c r="D115" i="2"/>
  <c r="F115" i="2"/>
  <c r="G115" i="2"/>
  <c r="C119" i="2"/>
  <c r="C123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H461" i="1" s="1"/>
  <c r="H641" i="1" s="1"/>
  <c r="F460" i="1"/>
  <c r="F461" i="1" s="1"/>
  <c r="H639" i="1" s="1"/>
  <c r="G460" i="1"/>
  <c r="H460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0" i="1"/>
  <c r="G651" i="1"/>
  <c r="G652" i="1"/>
  <c r="H652" i="1"/>
  <c r="G653" i="1"/>
  <c r="H653" i="1"/>
  <c r="G654" i="1"/>
  <c r="H654" i="1"/>
  <c r="H655" i="1"/>
  <c r="J655" i="1" s="1"/>
  <c r="D19" i="13"/>
  <c r="C19" i="13" s="1"/>
  <c r="J140" i="1"/>
  <c r="F571" i="1"/>
  <c r="K549" i="1"/>
  <c r="F22" i="13"/>
  <c r="C22" i="13" s="1"/>
  <c r="H571" i="1"/>
  <c r="H192" i="1"/>
  <c r="L570" i="1"/>
  <c r="D18" i="2" l="1"/>
  <c r="J634" i="1"/>
  <c r="G164" i="2"/>
  <c r="G157" i="2"/>
  <c r="G156" i="2"/>
  <c r="K605" i="1"/>
  <c r="G648" i="1" s="1"/>
  <c r="L614" i="1"/>
  <c r="K598" i="1"/>
  <c r="G647" i="1" s="1"/>
  <c r="I571" i="1"/>
  <c r="J571" i="1"/>
  <c r="K571" i="1"/>
  <c r="L560" i="1"/>
  <c r="K551" i="1"/>
  <c r="H552" i="1"/>
  <c r="L534" i="1"/>
  <c r="L539" i="1"/>
  <c r="J545" i="1"/>
  <c r="I545" i="1"/>
  <c r="H545" i="1"/>
  <c r="G552" i="1"/>
  <c r="K545" i="1"/>
  <c r="J476" i="1"/>
  <c r="H626" i="1" s="1"/>
  <c r="H476" i="1"/>
  <c r="H624" i="1" s="1"/>
  <c r="J624" i="1" s="1"/>
  <c r="G476" i="1"/>
  <c r="H623" i="1" s="1"/>
  <c r="J623" i="1" s="1"/>
  <c r="F476" i="1"/>
  <c r="H622" i="1" s="1"/>
  <c r="J622" i="1" s="1"/>
  <c r="J639" i="1"/>
  <c r="G461" i="1"/>
  <c r="H640" i="1" s="1"/>
  <c r="J641" i="1"/>
  <c r="I446" i="1"/>
  <c r="G642" i="1" s="1"/>
  <c r="G645" i="1"/>
  <c r="J645" i="1" s="1"/>
  <c r="L427" i="1"/>
  <c r="L434" i="1" s="1"/>
  <c r="G638" i="1" s="1"/>
  <c r="J638" i="1" s="1"/>
  <c r="L419" i="1"/>
  <c r="L401" i="1"/>
  <c r="C139" i="2" s="1"/>
  <c r="J643" i="1"/>
  <c r="I408" i="1"/>
  <c r="H408" i="1"/>
  <c r="H644" i="1" s="1"/>
  <c r="J644" i="1" s="1"/>
  <c r="L393" i="1"/>
  <c r="C138" i="2" s="1"/>
  <c r="F130" i="2"/>
  <c r="F144" i="2" s="1"/>
  <c r="F145" i="2" s="1"/>
  <c r="H661" i="1"/>
  <c r="D127" i="2"/>
  <c r="D128" i="2" s="1"/>
  <c r="L351" i="1"/>
  <c r="E114" i="2"/>
  <c r="C29" i="10"/>
  <c r="L328" i="1"/>
  <c r="E122" i="2"/>
  <c r="E120" i="2"/>
  <c r="E123" i="2"/>
  <c r="E119" i="2"/>
  <c r="C10" i="10"/>
  <c r="E109" i="2"/>
  <c r="H338" i="1"/>
  <c r="H352" i="1" s="1"/>
  <c r="E121" i="2"/>
  <c r="C20" i="10"/>
  <c r="C13" i="10"/>
  <c r="E115" i="2"/>
  <c r="F338" i="1"/>
  <c r="F352" i="1" s="1"/>
  <c r="C132" i="2"/>
  <c r="L270" i="1"/>
  <c r="L256" i="1"/>
  <c r="E13" i="13"/>
  <c r="C13" i="13" s="1"/>
  <c r="C19" i="10"/>
  <c r="L247" i="1"/>
  <c r="D6" i="13"/>
  <c r="C6" i="13" s="1"/>
  <c r="J651" i="1"/>
  <c r="H660" i="1"/>
  <c r="C111" i="2"/>
  <c r="G257" i="1"/>
  <c r="G271" i="1" s="1"/>
  <c r="F662" i="1"/>
  <c r="C18" i="10"/>
  <c r="C17" i="10"/>
  <c r="K257" i="1"/>
  <c r="K271" i="1" s="1"/>
  <c r="D14" i="13"/>
  <c r="C14" i="13" s="1"/>
  <c r="C16" i="10"/>
  <c r="A31" i="12"/>
  <c r="L229" i="1"/>
  <c r="I257" i="1"/>
  <c r="I271" i="1" s="1"/>
  <c r="D7" i="13"/>
  <c r="C7" i="13" s="1"/>
  <c r="D15" i="13"/>
  <c r="C15" i="13" s="1"/>
  <c r="F257" i="1"/>
  <c r="F271" i="1" s="1"/>
  <c r="C109" i="2"/>
  <c r="D5" i="13"/>
  <c r="C5" i="13" s="1"/>
  <c r="J257" i="1"/>
  <c r="J271" i="1" s="1"/>
  <c r="H257" i="1"/>
  <c r="H271" i="1" s="1"/>
  <c r="E103" i="2"/>
  <c r="G192" i="1"/>
  <c r="G62" i="2"/>
  <c r="G63" i="2" s="1"/>
  <c r="J625" i="1"/>
  <c r="F18" i="2"/>
  <c r="D91" i="2"/>
  <c r="D81" i="2"/>
  <c r="H140" i="1"/>
  <c r="F78" i="2"/>
  <c r="F81" i="2" s="1"/>
  <c r="G81" i="2"/>
  <c r="E81" i="2"/>
  <c r="D62" i="2"/>
  <c r="H112" i="1"/>
  <c r="E62" i="2"/>
  <c r="D50" i="2"/>
  <c r="D31" i="2"/>
  <c r="F192" i="1"/>
  <c r="C91" i="2"/>
  <c r="C70" i="2"/>
  <c r="F112" i="1"/>
  <c r="C35" i="10"/>
  <c r="C57" i="2"/>
  <c r="C62" i="2" s="1"/>
  <c r="C63" i="2" s="1"/>
  <c r="C18" i="2"/>
  <c r="C16" i="13"/>
  <c r="J647" i="1"/>
  <c r="J617" i="1"/>
  <c r="J640" i="1"/>
  <c r="I460" i="1"/>
  <c r="L211" i="1"/>
  <c r="L362" i="1"/>
  <c r="C27" i="10" s="1"/>
  <c r="K550" i="1"/>
  <c r="K552" i="1" s="1"/>
  <c r="L290" i="1"/>
  <c r="K503" i="1"/>
  <c r="L382" i="1"/>
  <c r="G636" i="1" s="1"/>
  <c r="J636" i="1" s="1"/>
  <c r="G662" i="1"/>
  <c r="I662" i="1" s="1"/>
  <c r="C15" i="10"/>
  <c r="C21" i="10"/>
  <c r="H25" i="13"/>
  <c r="K500" i="1"/>
  <c r="I452" i="1"/>
  <c r="I52" i="1"/>
  <c r="H620" i="1" s="1"/>
  <c r="J620" i="1" s="1"/>
  <c r="D145" i="2"/>
  <c r="C121" i="2"/>
  <c r="C112" i="2"/>
  <c r="C78" i="2"/>
  <c r="E56" i="2"/>
  <c r="G661" i="1"/>
  <c r="C11" i="10"/>
  <c r="C12" i="10"/>
  <c r="E8" i="13"/>
  <c r="C8" i="13" s="1"/>
  <c r="D12" i="13"/>
  <c r="C12" i="13" s="1"/>
  <c r="C26" i="10"/>
  <c r="K338" i="1"/>
  <c r="K352" i="1" s="1"/>
  <c r="D56" i="2"/>
  <c r="F661" i="1"/>
  <c r="G112" i="1"/>
  <c r="D29" i="13"/>
  <c r="C29" i="13" s="1"/>
  <c r="L309" i="1"/>
  <c r="G649" i="1"/>
  <c r="J649" i="1" s="1"/>
  <c r="C124" i="2"/>
  <c r="C120" i="2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J618" i="1"/>
  <c r="G42" i="2"/>
  <c r="J51" i="1"/>
  <c r="G16" i="2"/>
  <c r="G18" i="2" s="1"/>
  <c r="J19" i="1"/>
  <c r="G621" i="1" s="1"/>
  <c r="F545" i="1"/>
  <c r="H434" i="1"/>
  <c r="D103" i="2"/>
  <c r="I140" i="1"/>
  <c r="A22" i="12"/>
  <c r="G50" i="2"/>
  <c r="G51" i="2" s="1"/>
  <c r="J652" i="1"/>
  <c r="G571" i="1"/>
  <c r="I434" i="1"/>
  <c r="G434" i="1"/>
  <c r="I663" i="1"/>
  <c r="C81" i="2" l="1"/>
  <c r="H664" i="1"/>
  <c r="H672" i="1" s="1"/>
  <c r="C6" i="10" s="1"/>
  <c r="C141" i="2"/>
  <c r="C144" i="2" s="1"/>
  <c r="C145" i="2" s="1"/>
  <c r="I193" i="1"/>
  <c r="G630" i="1" s="1"/>
  <c r="J630" i="1" s="1"/>
  <c r="E128" i="2"/>
  <c r="E145" i="2" s="1"/>
  <c r="D31" i="13"/>
  <c r="C31" i="13" s="1"/>
  <c r="L257" i="1"/>
  <c r="L271" i="1" s="1"/>
  <c r="G632" i="1" s="1"/>
  <c r="J632" i="1" s="1"/>
  <c r="C128" i="2"/>
  <c r="C115" i="2"/>
  <c r="H648" i="1"/>
  <c r="J648" i="1" s="1"/>
  <c r="C28" i="10"/>
  <c r="D19" i="10" s="1"/>
  <c r="G104" i="2"/>
  <c r="F104" i="2"/>
  <c r="H193" i="1"/>
  <c r="G629" i="1" s="1"/>
  <c r="J629" i="1" s="1"/>
  <c r="I661" i="1"/>
  <c r="D63" i="2"/>
  <c r="D104" i="2" s="1"/>
  <c r="G664" i="1"/>
  <c r="G667" i="1" s="1"/>
  <c r="E63" i="2"/>
  <c r="E104" i="2" s="1"/>
  <c r="C36" i="10"/>
  <c r="D51" i="2"/>
  <c r="F193" i="1"/>
  <c r="G627" i="1" s="1"/>
  <c r="J627" i="1" s="1"/>
  <c r="C104" i="2"/>
  <c r="F660" i="1"/>
  <c r="L408" i="1"/>
  <c r="C25" i="13"/>
  <c r="H33" i="13"/>
  <c r="L338" i="1"/>
  <c r="L352" i="1" s="1"/>
  <c r="G633" i="1" s="1"/>
  <c r="J633" i="1" s="1"/>
  <c r="G635" i="1"/>
  <c r="J635" i="1" s="1"/>
  <c r="F51" i="2"/>
  <c r="I461" i="1"/>
  <c r="H642" i="1" s="1"/>
  <c r="J642" i="1" s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D11" i="10"/>
  <c r="D27" i="10"/>
  <c r="D24" i="10"/>
  <c r="D10" i="10"/>
  <c r="D23" i="10"/>
  <c r="D25" i="10"/>
  <c r="D18" i="10"/>
  <c r="D22" i="10"/>
  <c r="D20" i="10"/>
  <c r="D21" i="10"/>
  <c r="D26" i="10"/>
  <c r="D16" i="10"/>
  <c r="D17" i="10"/>
  <c r="C30" i="10"/>
  <c r="D13" i="10"/>
  <c r="D12" i="10"/>
  <c r="D15" i="10"/>
  <c r="G672" i="1"/>
  <c r="C5" i="10" s="1"/>
  <c r="G637" i="1"/>
  <c r="J637" i="1" s="1"/>
  <c r="H646" i="1"/>
  <c r="J646" i="1" s="1"/>
  <c r="F664" i="1"/>
  <c r="I660" i="1"/>
  <c r="I664" i="1" s="1"/>
  <c r="I672" i="1" s="1"/>
  <c r="C7" i="10" s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  <c r="E29" i="2" l="1"/>
  <c r="E31" i="2" s="1"/>
  <c r="E51" i="2" s="1"/>
  <c r="H32" i="1"/>
  <c r="H52" i="1" s="1"/>
  <c r="H619" i="1" s="1"/>
  <c r="J619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<sst xmlns="http://schemas.openxmlformats.org/spreadsheetml/2006/main" count="3963" uniqueCount="919">
  <si>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</si>
  <si>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</si>
  <si>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</si>
  <si>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</si>
  <si>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</si>
  <si>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</si>
  <si>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</si>
  <si>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</si>
  <si>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</si>
  <si>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</si>
  <si>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</si>
  <si>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</si>
  <si>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</si>
  <si>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</si>
  <si>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</si>
  <si>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</si>
  <si>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</si>
  <si>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</si>
  <si>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</si>
  <si>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</si>
  <si>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</si>
  <si>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</si>
  <si>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</si>
  <si>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</si>
  <si>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</si>
  <si>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</si>
  <si>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</si>
  <si>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</si>
  <si>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</si>
  <si>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</si>
  <si>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</si>
  <si>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</si>
  <si>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</si>
  <si>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</si>
  <si>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</si>
  <si>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</si>
  <si>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</si>
  <si>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</si>
  <si>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</si>
  <si>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</si>
  <si>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</si>
  <si>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</si>
  <si>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</si>
  <si>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</si>
  <si>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</si>
  <si>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</si>
  <si>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</si>
  <si>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</si>
  <si>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</si>
  <si>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</si>
  <si>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</si>
  <si>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</si>
  <si>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</si>
  <si>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</si>
  <si>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</si>
  <si>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</si>
  <si>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</si>
  <si>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</si>
  <si>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</si>
  <si>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</si>
  <si>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</si>
  <si>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</si>
  <si>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</si>
  <si>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</si>
  <si>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</si>
  <si>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</si>
  <si>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</si>
  <si>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</si>
  <si>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</si>
  <si>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</si>
  <si>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</si>
  <si>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</si>
  <si>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</si>
  <si>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</si>
  <si>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</si>
  <si>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</si>
  <si>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</si>
  <si>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</si>
  <si>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</si>
  <si>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</si>
  <si>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</si>
  <si>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</si>
  <si>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</si>
  <si>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</si>
  <si>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</si>
  <si>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</si>
  <si>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</si>
  <si>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</si>
  <si>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</si>
  <si>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</si>
  <si>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</si>
  <si>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</si>
  <si>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</si>
  <si>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</si>
  <si>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</si>
  <si>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</si>
  <si>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</si>
  <si>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</si>
  <si>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</si>
  <si>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</si>
  <si>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</si>
  <si>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</si>
  <si>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</si>
  <si>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</si>
  <si>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</si>
  <si>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</si>
  <si>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</si>
  <si>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</si>
  <si>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</si>
  <si>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</si>
  <si>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</si>
  <si>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</si>
  <si>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</si>
  <si>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</si>
  <si>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</si>
  <si>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</si>
  <si>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</si>
  <si>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</si>
  <si>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</si>
  <si>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</si>
  <si>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</si>
  <si>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</si>
  <si>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</si>
  <si>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</si>
  <si>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</si>
  <si>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</si>
  <si>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</si>
  <si>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</si>
  <si>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</si>
  <si>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</si>
  <si>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</si>
  <si>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</si>
  <si>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</si>
  <si>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</si>
  <si>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</si>
  <si>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</si>
  <si>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</si>
  <si>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</si>
  <si>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</si>
  <si>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</si>
  <si>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</si>
  <si>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</si>
  <si>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</si>
  <si>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</si>
  <si>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</si>
  <si>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</si>
  <si>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</si>
  <si>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</si>
  <si>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</si>
  <si>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</si>
  <si>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</si>
  <si>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</si>
  <si>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</si>
  <si>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</si>
  <si>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</si>
  <si>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</si>
  <si>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</si>
  <si>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</si>
  <si>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</si>
  <si>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</si>
  <si>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</si>
  <si>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</si>
  <si>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</si>
  <si>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</si>
  <si>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</si>
  <si>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</si>
  <si>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</si>
  <si>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</si>
  <si>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</si>
  <si>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</si>
  <si>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</si>
  <si>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</si>
  <si>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</si>
  <si>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</si>
  <si>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</si>
  <si>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</si>
  <si>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</si>
  <si>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</si>
  <si>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</si>
  <si>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</si>
  <si>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</si>
  <si>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</si>
  <si>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</si>
  <si>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</si>
  <si>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</si>
  <si>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</si>
  <si>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</si>
  <si>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</si>
  <si>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</si>
  <si>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</si>
  <si>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</si>
  <si>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</si>
  <si>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</si>
  <si>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</si>
  <si>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</si>
  <si>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</si>
  <si>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</si>
  <si>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</si>
  <si>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</si>
  <si>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</si>
  <si>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</si>
  <si>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</si>
  <si>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</si>
  <si>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</si>
  <si>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</si>
  <si>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</si>
  <si>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</si>
  <si>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</si>
  <si>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</si>
  <si>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</si>
  <si>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</si>
  <si>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</si>
  <si>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</si>
  <si>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</si>
  <si>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</si>
  <si>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</si>
  <si>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</si>
  <si>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</si>
  <si>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</si>
  <si>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</si>
  <si>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</si>
  <si>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</si>
  <si>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</si>
  <si>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</si>
  <si>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</si>
  <si>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</si>
  <si>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</si>
  <si>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</si>
  <si>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</si>
  <si>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</si>
  <si>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</si>
  <si>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</si>
  <si>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</si>
  <si>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</si>
  <si>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</si>
  <si>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</si>
  <si>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</si>
  <si>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</si>
  <si>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</si>
  <si>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</si>
  <si>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</si>
  <si>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</si>
  <si>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</si>
  <si>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</si>
  <si>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</si>
  <si>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</si>
  <si>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</si>
  <si>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</si>
  <si>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</si>
  <si>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</si>
  <si>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</si>
  <si>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</si>
  <si>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</si>
  <si>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</si>
  <si>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</si>
  <si>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</si>
  <si>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</si>
  <si>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</si>
  <si>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</si>
  <si>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</si>
  <si>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</si>
  <si>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</si>
  <si>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</si>
  <si>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</si>
  <si>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</si>
  <si>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</si>
  <si>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</si>
  <si>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</si>
  <si>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</si>
  <si>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</si>
  <si>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</si>
  <si>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</si>
  <si>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</si>
  <si>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</si>
  <si>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</si>
  <si>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</si>
  <si>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</si>
  <si>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</si>
  <si>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</si>
  <si>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</si>
  <si>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</si>
  <si>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</si>
  <si>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</si>
  <si>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</si>
  <si>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</si>
  <si>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</si>
  <si>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</si>
  <si>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</si>
  <si>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</si>
  <si>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</si>
  <si>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</si>
  <si>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</si>
  <si>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</si>
  <si>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</si>
  <si>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</si>
  <si>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</si>
  <si>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</si>
  <si>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</si>
  <si>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</si>
  <si>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</si>
  <si>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</si>
  <si>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</si>
  <si>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</si>
  <si>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</si>
  <si>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</si>
  <si>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</si>
  <si>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</si>
  <si>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</si>
  <si>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</si>
  <si>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</si>
  <si>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</si>
  <si>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</si>
  <si>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</si>
  <si>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</si>
  <si>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</si>
  <si>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</si>
  <si>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</si>
  <si>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</si>
  <si>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</si>
  <si>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</si>
  <si>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</si>
  <si>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</si>
  <si>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</si>
  <si>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</si>
  <si>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</si>
  <si>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</si>
  <si>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</si>
  <si>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</si>
  <si>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</si>
  <si>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</si>
  <si>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</si>
  <si>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</si>
  <si>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</si>
  <si>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</si>
  <si>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</si>
  <si>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</si>
  <si>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</si>
  <si>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</si>
  <si>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</si>
  <si>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</si>
  <si>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</si>
  <si>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</si>
  <si>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</si>
  <si>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</si>
  <si>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</si>
  <si>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</si>
  <si>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</si>
  <si>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</si>
  <si>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</si>
  <si>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</si>
  <si>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</si>
  <si>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</si>
  <si>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</si>
  <si>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</si>
  <si>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</si>
  <si>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</si>
  <si>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</si>
  <si>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</si>
  <si>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</si>
  <si>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</si>
  <si>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</si>
  <si>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</si>
  <si>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</si>
  <si>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</si>
  <si>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</si>
  <si>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</si>
  <si>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</si>
  <si>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</si>
  <si>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</si>
  <si>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</si>
  <si>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</si>
  <si>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</si>
  <si>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</si>
  <si>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</si>
  <si>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</si>
  <si>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</si>
  <si>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</si>
  <si>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</si>
  <si>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</si>
  <si>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</si>
  <si>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</si>
  <si>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</si>
  <si>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</si>
  <si>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</si>
  <si>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</si>
  <si>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</si>
  <si>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</si>
  <si>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</si>
  <si>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</si>
  <si>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</si>
  <si>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</si>
  <si>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</si>
  <si>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</si>
  <si>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</si>
  <si>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</si>
  <si>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</si>
  <si>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</si>
  <si>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</si>
  <si>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</si>
  <si>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</si>
  <si>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</si>
  <si>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</si>
  <si>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</si>
  <si>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</si>
  <si>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</si>
  <si>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</si>
  <si>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</si>
  <si>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</si>
  <si>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</si>
  <si>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</si>
  <si>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</si>
  <si>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</si>
  <si>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</si>
  <si>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</si>
  <si>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</si>
  <si>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</si>
  <si>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</si>
  <si>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</si>
  <si>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</si>
  <si>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</si>
  <si>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</si>
  <si>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</si>
  <si>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</si>
  <si>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</si>
  <si>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</si>
  <si>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</si>
  <si>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</si>
  <si>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</si>
  <si>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</si>
  <si>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</si>
  <si>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</si>
  <si>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</si>
  <si>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</si>
  <si>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</si>
  <si>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</si>
  <si>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</si>
  <si>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</si>
  <si>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</si>
  <si>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</si>
  <si>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</si>
  <si>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</si>
  <si>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</si>
  <si>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</si>
  <si>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</si>
  <si>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</si>
  <si>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</si>
  <si>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</si>
  <si>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</si>
  <si>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</si>
  <si>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</si>
  <si>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</si>
  <si>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</si>
  <si>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</si>
  <si>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</si>
  <si>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</si>
  <si>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</si>
  <si>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</si>
  <si>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</si>
  <si>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</si>
  <si>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</si>
  <si>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</si>
  <si>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</si>
  <si>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</si>
  <si>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</si>
  <si>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</si>
  <si>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</si>
  <si>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</si>
  <si>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</si>
  <si>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</si>
  <si>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</si>
  <si>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</si>
  <si>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</si>
  <si>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</si>
  <si>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</si>
  <si>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</si>
  <si>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</si>
  <si>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</si>
  <si>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</si>
  <si>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</si>
  <si>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</si>
  <si>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</si>
  <si>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</si>
  <si>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</si>
  <si>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</si>
  <si>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</si>
  <si>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</si>
  <si>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</si>
  <si>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</si>
  <si>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</si>
  <si>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</si>
  <si>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</si>
  <si>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</si>
  <si>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</si>
  <si>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</si>
  <si>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</si>
  <si>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</si>
  <si>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</si>
  <si>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</si>
  <si>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</si>
  <si>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</si>
  <si>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</si>
  <si>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</si>
  <si>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</si>
  <si>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</si>
  <si>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</si>
  <si>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</si>
  <si>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</si>
  <si>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</si>
  <si>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</si>
  <si>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</si>
  <si>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</si>
  <si>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</si>
  <si>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</si>
  <si>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</si>
  <si>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</si>
  <si>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</si>
  <si>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</si>
  <si>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</si>
  <si>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</si>
  <si>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</si>
  <si>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</si>
  <si>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</si>
  <si>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</si>
  <si>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</si>
  <si>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</si>
  <si>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</si>
  <si>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</si>
  <si>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</si>
  <si>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</si>
  <si>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</si>
  <si>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</si>
  <si>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</si>
  <si>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</si>
  <si>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</si>
  <si>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</si>
  <si>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</si>
  <si>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</si>
  <si>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</si>
  <si>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</si>
  <si>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</si>
  <si>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</si>
  <si>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</si>
  <si>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</si>
  <si>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</si>
  <si>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</si>
  <si>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</si>
  <si>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</si>
  <si>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</si>
  <si>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</si>
  <si>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</si>
  <si>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</si>
  <si>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</si>
  <si>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</si>
  <si>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</si>
  <si>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</si>
  <si>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</si>
  <si>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</si>
  <si>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</si>
  <si>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</si>
  <si>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</si>
  <si>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</si>
  <si>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</si>
  <si>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</si>
  <si>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</si>
  <si>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</si>
  <si>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</si>
  <si>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</si>
  <si>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</si>
  <si>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</si>
  <si>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</si>
  <si>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</si>
  <si>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</si>
  <si>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</si>
  <si>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</si>
  <si>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</si>
  <si>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</si>
  <si>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</si>
  <si>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</si>
  <si>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</si>
  <si>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</si>
  <si>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</si>
  <si>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</si>
  <si>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</si>
  <si>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</si>
  <si>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</si>
  <si>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</si>
  <si>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</si>
  <si>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</si>
  <si>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</si>
  <si>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</si>
  <si>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</si>
  <si>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</si>
  <si>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</si>
  <si>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</si>
  <si>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</si>
  <si>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</si>
  <si>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</si>
  <si>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</si>
  <si>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</si>
  <si>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</si>
  <si>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</si>
  <si>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</si>
  <si>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</si>
  <si>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</si>
  <si>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</si>
  <si>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</si>
  <si>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</si>
  <si>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</si>
  <si>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</si>
  <si>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</si>
  <si>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</si>
  <si>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</si>
  <si>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</si>
  <si>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</si>
  <si>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</si>
  <si>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</si>
  <si>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</si>
  <si>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</si>
  <si>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</si>
  <si>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</si>
  <si>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</si>
  <si>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</si>
  <si>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</si>
  <si>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</si>
  <si>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</si>
  <si>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</si>
  <si>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</si>
  <si>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</si>
  <si>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</si>
  <si>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</si>
  <si>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</si>
  <si>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</si>
  <si>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</si>
  <si>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</si>
  <si>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</si>
  <si>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</si>
  <si>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</si>
  <si>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</si>
  <si>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</si>
  <si>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</si>
  <si>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</si>
  <si>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</si>
  <si>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</si>
  <si>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</si>
  <si>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</si>
  <si>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</si>
  <si>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</si>
  <si>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</si>
  <si>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</si>
  <si>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</si>
  <si>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</si>
  <si>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</si>
  <si>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</si>
  <si>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</si>
  <si>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</si>
  <si>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</si>
  <si>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</si>
  <si>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</si>
  <si>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</si>
  <si>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</si>
  <si>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</si>
  <si>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</si>
  <si>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</si>
  <si>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</si>
  <si>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</si>
  <si>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</si>
  <si>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</si>
  <si>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</si>
  <si>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</si>
  <si>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</si>
  <si>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</si>
  <si>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</si>
  <si>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</si>
  <si>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</si>
  <si>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</si>
  <si>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</si>
  <si>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</si>
  <si>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</si>
  <si>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</si>
  <si>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</si>
  <si>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</si>
  <si>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</si>
  <si>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</si>
  <si>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</si>
  <si>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</si>
  <si>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</si>
  <si>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</si>
  <si>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</si>
  <si>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</si>
  <si>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</si>
  <si>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</si>
  <si>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</si>
  <si>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</si>
  <si>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</si>
  <si>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</si>
  <si>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</si>
  <si>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</si>
  <si>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</si>
  <si>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</si>
  <si>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</si>
  <si>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</si>
  <si>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</si>
  <si>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</si>
  <si>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</si>
  <si>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</si>
  <si>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</si>
  <si>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</si>
  <si>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</si>
  <si>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</si>
  <si>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</si>
  <si>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</si>
  <si>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</si>
  <si>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</si>
  <si>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</si>
  <si>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</si>
  <si>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</si>
  <si>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</si>
  <si>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</si>
  <si>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</si>
  <si>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</si>
  <si>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</si>
  <si>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</si>
  <si>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</si>
  <si>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</si>
  <si>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</si>
  <si>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</si>
  <si>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</si>
  <si>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</si>
  <si>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</si>
  <si>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</si>
  <si>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</si>
  <si>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</si>
  <si>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</si>
  <si>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</si>
  <si>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</si>
  <si>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</si>
  <si>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</si>
  <si>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</si>
  <si>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</si>
  <si>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</si>
  <si>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</si>
  <si>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</si>
  <si>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</si>
  <si>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</si>
  <si>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</si>
  <si>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</si>
  <si>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</si>
  <si>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</si>
  <si>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</si>
  <si>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</si>
  <si>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</si>
  <si>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</si>
  <si>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</si>
  <si>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</si>
  <si>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</si>
  <si>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</si>
  <si>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</si>
  <si>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</si>
  <si>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</si>
  <si>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</si>
  <si>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</si>
  <si>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</si>
  <si>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</si>
  <si>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</si>
  <si>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</si>
  <si>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</si>
  <si>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</si>
  <si>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</si>
  <si>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</si>
  <si>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</si>
  <si>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</si>
  <si>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</si>
  <si>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</si>
  <si>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</si>
  <si>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</si>
  <si>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</si>
  <si>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</si>
  <si>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</si>
  <si>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</si>
  <si>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</si>
  <si>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</si>
  <si>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</si>
  <si>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</si>
  <si>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</si>
  <si>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</si>
  <si>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</si>
  <si>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</si>
  <si>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</si>
  <si>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</si>
  <si>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</si>
  <si>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</si>
  <si>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</si>
  <si>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</si>
  <si>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</si>
  <si>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</si>
  <si>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</si>
  <si>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</si>
  <si>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</si>
  <si>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</si>
  <si>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</si>
  <si>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</si>
  <si>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</si>
  <si>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</si>
  <si>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</si>
  <si>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</si>
  <si>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</si>
  <si>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</si>
  <si>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</si>
  <si>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</si>
  <si>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</si>
  <si>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</si>
  <si>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</si>
  <si>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</si>
  <si>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</si>
  <si>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</si>
  <si>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</si>
  <si>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</si>
  <si>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</si>
  <si>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</si>
  <si>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</si>
  <si>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</si>
  <si>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</si>
  <si>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</si>
  <si>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</si>
  <si>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</si>
  <si>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</si>
  <si>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</si>
  <si>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</si>
  <si>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</si>
  <si>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</si>
  <si>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</si>
  <si>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</si>
  <si>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</si>
  <si>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</si>
  <si>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</si>
  <si>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</si>
  <si>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</si>
  <si>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</si>
  <si>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</si>
  <si>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</si>
  <si>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</si>
  <si>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</si>
  <si>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</si>
  <si>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</si>
  <si>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</si>
  <si>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</si>
  <si>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</si>
  <si>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</si>
  <si>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</si>
  <si>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</si>
  <si>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</si>
  <si>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</si>
  <si>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</si>
  <si>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</si>
  <si>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</si>
  <si>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</si>
  <si>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</si>
  <si>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</si>
  <si>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</si>
  <si>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</si>
  <si>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</si>
  <si>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</si>
  <si>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</si>
  <si>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</si>
  <si>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</si>
  <si>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</si>
  <si>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</si>
  <si>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</si>
  <si>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</si>
  <si>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</si>
  <si>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</si>
  <si>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</si>
  <si>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</si>
  <si>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</si>
  <si>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</si>
  <si>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</si>
  <si>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</si>
  <si>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</si>
  <si>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</si>
  <si>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</si>
  <si>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</si>
  <si>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</si>
  <si>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</si>
  <si>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</si>
  <si>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</si>
  <si>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</si>
  <si>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</si>
  <si>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</si>
  <si>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</si>
  <si>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</si>
  <si>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</si>
  <si>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</si>
  <si>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</si>
  <si>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</si>
  <si>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</si>
  <si>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</si>
  <si>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</si>
  <si>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</si>
  <si>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</si>
  <si>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</si>
  <si>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</si>
  <si>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</si>
  <si>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</si>
  <si>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</si>
  <si>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</si>
  <si>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</si>
  <si>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</si>
  <si>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</si>
  <si>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</si>
  <si>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</si>
  <si>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</si>
  <si>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</si>
  <si>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07/10</t>
  </si>
  <si>
    <t>01/26</t>
  </si>
  <si>
    <t>F473 - Transactions in function 2900 - Unemployment &amp; Workers Comp Expenditures.</t>
  </si>
  <si>
    <t>J473 - Net Expended from Student Activities</t>
  </si>
  <si>
    <t>H469 &amp; H473 - Change in Deferred Revenue &amp; Correction for PY Expenditures</t>
  </si>
  <si>
    <t xml:space="preserve">F469 &amp; G469 - PY Accrued Expenses that were not realized back to unassigned fund balance and correction from prior year balance of assigned fund balance that no longer has an assignement. </t>
  </si>
  <si>
    <t>Newfound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</si>
</sst>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5" t="s">
        <v>918</v>
      </c>
      <c r="B2" s="21">
        <v>388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278</v>
      </c>
      <c r="G6" s="224" t="s">
        <v>279</v>
      </c>
      <c r="H6" s="224" t="s">
        <v>280</v>
      </c>
      <c r="I6" s="224" t="s">
        <v>281</v>
      </c>
      <c r="J6" s="224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4"/>
      <c r="G7" s="225"/>
      <c r="H7" s="224" t="s">
        <v>766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1645105.92</v>
      </c>
      <c r="G9" s="18">
        <f>2657.49+188</f>
        <v>2845.49</v>
      </c>
      <c r="H9" s="18">
        <v>0</v>
      </c>
      <c r="I9" s="18">
        <v>0</v>
      </c>
      <c r="J9" s="67">
        <f>SUM(I439)</f>
        <v>130300.07999999999</v>
      </c>
      <c r="K9" s="24" t="s">
        <v>286</v>
      </c>
      <c r="L9" s="24" t="s">
        <v>286</v>
      </c>
      <c r="M9" s="8"/>
      <c r="N9" s="271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443498.06000000006</v>
      </c>
      <c r="K10" s="24" t="s">
        <v>286</v>
      </c>
      <c r="L10" s="24" t="s">
        <v>286</v>
      </c>
      <c r="M10" s="8"/>
      <c r="N10" s="271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1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253465.09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1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947472.92+9522.92</f>
        <v>956995.84000000008</v>
      </c>
      <c r="G13" s="18">
        <f>88800.21+457.58</f>
        <v>89257.790000000008</v>
      </c>
      <c r="H13" s="18">
        <v>250621.15000000002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1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1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1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f>3897+2515.28+1140.55+8011.05</f>
        <v>15563.880000000001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1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1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1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2855566.85</v>
      </c>
      <c r="G19" s="41">
        <f>SUM(G9:G18)</f>
        <v>107667.16000000002</v>
      </c>
      <c r="H19" s="41">
        <f>SUM(H9:H18)</f>
        <v>250621.15000000002</v>
      </c>
      <c r="I19" s="41">
        <f>SUM(I9:I18)</f>
        <v>0</v>
      </c>
      <c r="J19" s="41">
        <f>SUM(J9:J18)</f>
        <v>573798.14</v>
      </c>
      <c r="K19" s="45" t="s">
        <v>286</v>
      </c>
      <c r="L19" s="45" t="s">
        <v>286</v>
      </c>
      <c r="M19" s="8"/>
      <c r="N19" s="271"/>
    </row>
    <row r="20" spans="1:14" s="3" customFormat="1" ht="12.2" customHeight="1" x14ac:dyDescent="0.15">
      <c r="A20" s="1" t="s">
        <v>452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1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69063.37</v>
      </c>
      <c r="H22" s="18">
        <v>184401.72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1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1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381.71-103.77+262.6+-15.26</f>
        <v>525.28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1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1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1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1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1239917.1399999999</v>
      </c>
      <c r="G28" s="18">
        <v>0</v>
      </c>
      <c r="H28" s="18">
        <v>35312.949999999997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1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1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0</v>
      </c>
      <c r="H30" s="18">
        <v>30906.48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1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1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1240442.42</v>
      </c>
      <c r="G32" s="41">
        <f>SUM(G22:G31)</f>
        <v>69063.37</v>
      </c>
      <c r="H32" s="41">
        <f>SUM(H22:H31)</f>
        <v>250621.15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1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1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1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f>3897+2515.28+1140.55+8011.05</f>
        <v>15563.880000000001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1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1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111632.7</v>
      </c>
      <c r="K37" s="24" t="s">
        <v>286</v>
      </c>
      <c r="L37" s="24" t="s">
        <v>286</v>
      </c>
      <c r="M37" s="8"/>
      <c r="N37" s="271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1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1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23039.91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1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1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1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1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1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1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430785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1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1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462165.44</v>
      </c>
      <c r="K48" s="24" t="s">
        <v>286</v>
      </c>
      <c r="L48" s="24" t="s">
        <v>286</v>
      </c>
      <c r="M48" s="8"/>
      <c r="N48" s="271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1184338.4300000002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1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1615124.4300000002</v>
      </c>
      <c r="G51" s="41">
        <f>SUM(G35:G50)</f>
        <v>38603.79</v>
      </c>
      <c r="H51" s="41">
        <f>SUM(H35:H50)</f>
        <v>0</v>
      </c>
      <c r="I51" s="41">
        <f>SUM(I35:I50)</f>
        <v>0</v>
      </c>
      <c r="J51" s="41">
        <f>SUM(J35:J50)</f>
        <v>573798.14</v>
      </c>
      <c r="K51" s="45" t="s">
        <v>286</v>
      </c>
      <c r="L51" s="45" t="s">
        <v>286</v>
      </c>
      <c r="N51" s="269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2855566.85</v>
      </c>
      <c r="G52" s="41">
        <f>G51+G32</f>
        <v>107667.16</v>
      </c>
      <c r="H52" s="41">
        <f>H51+H32</f>
        <v>250621.15</v>
      </c>
      <c r="I52" s="41">
        <f>I51+I32</f>
        <v>0</v>
      </c>
      <c r="J52" s="41">
        <f>J51+J32</f>
        <v>573798.14</v>
      </c>
      <c r="K52" s="45" t="s">
        <v>286</v>
      </c>
      <c r="L52" s="45" t="s">
        <v>286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1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1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1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13192126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1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1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2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13192126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2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1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1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1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1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2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1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1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741944.86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1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82712.25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1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1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1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1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1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1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1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1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1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69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824657.11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1"/>
    </row>
    <row r="81" spans="1:14" s="3" customFormat="1" ht="12.2" customHeight="1" x14ac:dyDescent="0.2">
      <c r="A81" s="169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1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1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1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1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1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1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1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1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1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1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1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1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1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1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5198.62</v>
      </c>
      <c r="G96" s="18">
        <v>39.39</v>
      </c>
      <c r="H96" s="18">
        <v>0</v>
      </c>
      <c r="I96" s="18">
        <v>0</v>
      </c>
      <c r="J96" s="18">
        <v>2039.49</v>
      </c>
      <c r="K96" s="24" t="s">
        <v>286</v>
      </c>
      <c r="L96" s="24" t="s">
        <v>286</v>
      </c>
      <c r="M96" s="8"/>
      <c r="N96" s="271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244116.1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1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1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1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1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1579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1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1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1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1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1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1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1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1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1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1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6777.62</v>
      </c>
      <c r="G111" s="41">
        <f>SUM(G96:G110)</f>
        <v>244155.49000000002</v>
      </c>
      <c r="H111" s="41">
        <f>SUM(H96:H110)</f>
        <v>0</v>
      </c>
      <c r="I111" s="41">
        <f>SUM(I96:I110)</f>
        <v>0</v>
      </c>
      <c r="J111" s="41">
        <f>SUM(J96:J110)</f>
        <v>2039.49</v>
      </c>
      <c r="K111" s="45" t="s">
        <v>286</v>
      </c>
      <c r="L111" s="45" t="s">
        <v>286</v>
      </c>
      <c r="N111" s="269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14023560.729999999</v>
      </c>
      <c r="G112" s="41">
        <f>G60+G111</f>
        <v>244155.49000000002</v>
      </c>
      <c r="H112" s="41">
        <f>H60+H79+H94+H111</f>
        <v>0</v>
      </c>
      <c r="I112" s="41">
        <f>I60+I111</f>
        <v>0</v>
      </c>
      <c r="J112" s="41">
        <f>J60+J111</f>
        <v>2039.49</v>
      </c>
      <c r="K112" s="45" t="s">
        <v>286</v>
      </c>
      <c r="L112" s="45" t="s">
        <v>286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1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3163098.1719999998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1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4039328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1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1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7664.4780000000001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1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7210090.6500000004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1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1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97426.19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1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1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76755.539999999994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1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1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4683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1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1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1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1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21480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1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1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137412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1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316276.73</v>
      </c>
      <c r="G136" s="41">
        <f>SUM(G123:G135)</f>
        <v>21480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1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1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1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1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7526367.3800000008</v>
      </c>
      <c r="G140" s="41">
        <f>G121+SUM(G136:G137)</f>
        <v>21480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3" t="s">
        <v>766</v>
      </c>
      <c r="I143" s="16" t="s">
        <v>281</v>
      </c>
      <c r="J143" s="16" t="s">
        <v>282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1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1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1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1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1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1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1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1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1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1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455012.38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1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354287.05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1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1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1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252435.18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1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334443.62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1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289271.34000000003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1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122464.26</v>
      </c>
      <c r="G161" s="18">
        <v>0</v>
      </c>
      <c r="H161" s="18">
        <v>53823.519999999997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1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411735.60000000003</v>
      </c>
      <c r="G162" s="41">
        <f>SUM(G150:G161)</f>
        <v>252435.18</v>
      </c>
      <c r="H162" s="41">
        <f>SUM(H150:H161)</f>
        <v>1197566.5699999998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1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1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1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2549.6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1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1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1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1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414285.2</v>
      </c>
      <c r="G169" s="41">
        <f>G147+G162+SUM(G163:G168)</f>
        <v>252435.18</v>
      </c>
      <c r="H169" s="41">
        <f>H147+H162+SUM(H163:H168)</f>
        <v>1197566.5699999998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3" t="s">
        <v>766</v>
      </c>
      <c r="I172" s="16" t="s">
        <v>281</v>
      </c>
      <c r="J172" s="16" t="s">
        <v>282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1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1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1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1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1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1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40000</v>
      </c>
      <c r="H179" s="18">
        <v>0</v>
      </c>
      <c r="I179" s="18">
        <v>0</v>
      </c>
      <c r="J179" s="18">
        <v>100000</v>
      </c>
      <c r="K179" s="24" t="s">
        <v>286</v>
      </c>
      <c r="L179" s="24" t="s">
        <v>286</v>
      </c>
      <c r="M179" s="8"/>
      <c r="N179" s="271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1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1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1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40000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1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1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1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1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69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9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1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1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1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5" t="s">
        <v>428</v>
      </c>
      <c r="E192" s="51">
        <v>5000</v>
      </c>
      <c r="F192" s="41">
        <f>F177+F183+SUM(F188:F191)</f>
        <v>0</v>
      </c>
      <c r="G192" s="41">
        <f>G183+SUM(G188:G191)</f>
        <v>40000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1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6" t="s">
        <v>428</v>
      </c>
      <c r="E193" s="44"/>
      <c r="F193" s="47">
        <f>F112+F140+F169+F192</f>
        <v>21964213.309999999</v>
      </c>
      <c r="G193" s="47">
        <f>G112+G140+G169+G192</f>
        <v>558070.66999999993</v>
      </c>
      <c r="H193" s="47">
        <f>H112+H140+H169+H192</f>
        <v>1197566.5699999998</v>
      </c>
      <c r="I193" s="47">
        <f>I112+I140+I169+I192</f>
        <v>0</v>
      </c>
      <c r="J193" s="47">
        <f>J112+J140+J192</f>
        <v>102039.49</v>
      </c>
      <c r="K193" s="45" t="s">
        <v>286</v>
      </c>
      <c r="L193" s="45" t="s">
        <v>286</v>
      </c>
      <c r="M193" s="8"/>
      <c r="N193" s="271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6" t="s">
        <v>687</v>
      </c>
      <c r="G194" s="176" t="s">
        <v>688</v>
      </c>
      <c r="H194" s="176" t="s">
        <v>689</v>
      </c>
      <c r="I194" s="176" t="s">
        <v>690</v>
      </c>
      <c r="J194" s="176" t="s">
        <v>691</v>
      </c>
      <c r="K194" s="176" t="s">
        <v>692</v>
      </c>
      <c r="L194" s="56"/>
      <c r="M194" s="8"/>
      <c r="N194" s="271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1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2049294.5999999999</v>
      </c>
      <c r="G197" s="18">
        <v>944183.15999999992</v>
      </c>
      <c r="H197" s="18">
        <v>40557.423026609446</v>
      </c>
      <c r="I197" s="18">
        <v>75721.47</v>
      </c>
      <c r="J197" s="18">
        <v>25798.6</v>
      </c>
      <c r="K197" s="18">
        <v>3315.4657725321886</v>
      </c>
      <c r="L197" s="19">
        <f>SUM(F197:K197)</f>
        <v>3138870.7187991417</v>
      </c>
      <c r="M197" s="8"/>
      <c r="N197" s="271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930212.91999999993</v>
      </c>
      <c r="G198" s="18">
        <v>506875.67000000016</v>
      </c>
      <c r="H198" s="18">
        <v>17910.499875708156</v>
      </c>
      <c r="I198" s="18">
        <v>9466.3000000000011</v>
      </c>
      <c r="J198" s="18">
        <v>1744.6399999999999</v>
      </c>
      <c r="K198" s="18">
        <v>1368.88</v>
      </c>
      <c r="L198" s="19">
        <f>SUM(F198:K198)</f>
        <v>1467578.9098757082</v>
      </c>
      <c r="M198" s="8"/>
      <c r="N198" s="271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0</v>
      </c>
      <c r="G200" s="18">
        <v>15941.538913218887</v>
      </c>
      <c r="H200" s="18">
        <v>164.46605527896995</v>
      </c>
      <c r="I200" s="18">
        <v>482.5</v>
      </c>
      <c r="J200" s="18">
        <v>0</v>
      </c>
      <c r="K200" s="18">
        <v>0</v>
      </c>
      <c r="L200" s="19">
        <f>SUM(F200:K200)</f>
        <v>16588.504968497858</v>
      </c>
      <c r="M200" s="8"/>
      <c r="N200" s="271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1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538777.70464017161</v>
      </c>
      <c r="G202" s="18">
        <v>273951.35474377678</v>
      </c>
      <c r="H202" s="18">
        <v>292913.98823836911</v>
      </c>
      <c r="I202" s="18">
        <v>10491.894546351932</v>
      </c>
      <c r="J202" s="18">
        <v>5819.3499141630909</v>
      </c>
      <c r="K202" s="18">
        <v>829</v>
      </c>
      <c r="L202" s="19">
        <f t="shared" ref="L202:L208" si="0">SUM(F202:K202)</f>
        <v>1122783.2920828324</v>
      </c>
      <c r="M202" s="8"/>
      <c r="N202" s="271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78529.524808583679</v>
      </c>
      <c r="G203" s="18">
        <v>35138.292565579395</v>
      </c>
      <c r="H203" s="18">
        <v>16984.846284635194</v>
      </c>
      <c r="I203" s="18">
        <v>12701.149403605148</v>
      </c>
      <c r="J203" s="18">
        <v>43966.258546008583</v>
      </c>
      <c r="K203" s="18">
        <v>66985.791342489276</v>
      </c>
      <c r="L203" s="19">
        <f t="shared" si="0"/>
        <v>254305.86295090127</v>
      </c>
      <c r="M203" s="8"/>
      <c r="N203" s="271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282173.23544248921</v>
      </c>
      <c r="G204" s="18">
        <v>139611.78161399139</v>
      </c>
      <c r="H204" s="18">
        <v>44973.940912446356</v>
      </c>
      <c r="I204" s="18">
        <v>4078.4645462660937</v>
      </c>
      <c r="J204" s="18">
        <v>1543.6455161373387</v>
      </c>
      <c r="K204" s="18">
        <v>4594.0929982832622</v>
      </c>
      <c r="L204" s="19">
        <f t="shared" si="0"/>
        <v>476975.16102961369</v>
      </c>
      <c r="M204" s="8"/>
      <c r="N204" s="271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454612.65</v>
      </c>
      <c r="G205" s="18">
        <v>241695.27000000002</v>
      </c>
      <c r="H205" s="18">
        <v>3611.56</v>
      </c>
      <c r="I205" s="18">
        <v>4962.1499999999996</v>
      </c>
      <c r="J205" s="18">
        <v>6838.64</v>
      </c>
      <c r="K205" s="18">
        <v>1641</v>
      </c>
      <c r="L205" s="19">
        <f t="shared" si="0"/>
        <v>713361.27000000014</v>
      </c>
      <c r="M205" s="8"/>
      <c r="N205" s="271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1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239586.92611030041</v>
      </c>
      <c r="G207" s="18">
        <v>90437.649215021462</v>
      </c>
      <c r="H207" s="18">
        <v>244119.4212748498</v>
      </c>
      <c r="I207" s="18">
        <v>192345.70156085835</v>
      </c>
      <c r="J207" s="18">
        <v>38840.390360085839</v>
      </c>
      <c r="K207" s="18">
        <v>0</v>
      </c>
      <c r="L207" s="19">
        <f t="shared" si="0"/>
        <v>805330.08852111583</v>
      </c>
      <c r="M207" s="8"/>
      <c r="N207" s="271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453158.88503527892</v>
      </c>
      <c r="I208" s="18">
        <v>49782.795590472102</v>
      </c>
      <c r="J208" s="18">
        <v>0</v>
      </c>
      <c r="K208" s="18">
        <v>0</v>
      </c>
      <c r="L208" s="19">
        <f t="shared" si="0"/>
        <v>502941.68062575103</v>
      </c>
      <c r="M208" s="8"/>
      <c r="N208" s="271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1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1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4573187.5610015448</v>
      </c>
      <c r="G211" s="41">
        <f t="shared" si="1"/>
        <v>2247834.717051588</v>
      </c>
      <c r="H211" s="41">
        <f t="shared" si="1"/>
        <v>1114395.030703176</v>
      </c>
      <c r="I211" s="41">
        <f t="shared" si="1"/>
        <v>360032.42564755364</v>
      </c>
      <c r="J211" s="41">
        <f t="shared" si="1"/>
        <v>124551.52433639485</v>
      </c>
      <c r="K211" s="41">
        <f t="shared" si="1"/>
        <v>78734.230113304729</v>
      </c>
      <c r="L211" s="41">
        <f t="shared" si="1"/>
        <v>8498735.4888535626</v>
      </c>
      <c r="M211" s="8"/>
      <c r="N211" s="271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6" t="s">
        <v>687</v>
      </c>
      <c r="G212" s="176" t="s">
        <v>688</v>
      </c>
      <c r="H212" s="176" t="s">
        <v>689</v>
      </c>
      <c r="I212" s="176" t="s">
        <v>690</v>
      </c>
      <c r="J212" s="176" t="s">
        <v>691</v>
      </c>
      <c r="K212" s="176" t="s">
        <v>692</v>
      </c>
      <c r="L212" s="67"/>
      <c r="M212" s="8"/>
      <c r="N212" s="271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1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1252595.8700000001</v>
      </c>
      <c r="G215" s="18">
        <v>596581.34</v>
      </c>
      <c r="H215" s="18">
        <v>16276.766630042919</v>
      </c>
      <c r="I215" s="18">
        <v>43368.350000000006</v>
      </c>
      <c r="J215" s="18">
        <v>25744.959999999999</v>
      </c>
      <c r="K215" s="18">
        <v>781.64442060085844</v>
      </c>
      <c r="L215" s="19">
        <f>SUM(F215:K215)</f>
        <v>1935348.9310506438</v>
      </c>
      <c r="M215" s="8"/>
      <c r="N215" s="271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498349.8</v>
      </c>
      <c r="G216" s="18">
        <v>279005.36</v>
      </c>
      <c r="H216" s="18">
        <v>123251.23037321887</v>
      </c>
      <c r="I216" s="18">
        <v>456.56</v>
      </c>
      <c r="J216" s="18">
        <v>1327.48</v>
      </c>
      <c r="K216" s="18">
        <v>1159.45</v>
      </c>
      <c r="L216" s="19">
        <f>SUM(F216:K216)</f>
        <v>903549.8803732188</v>
      </c>
      <c r="M216" s="8"/>
      <c r="N216" s="271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52599.4</v>
      </c>
      <c r="G218" s="18">
        <v>12429.984900085834</v>
      </c>
      <c r="H218" s="18">
        <v>10191.937618540773</v>
      </c>
      <c r="I218" s="18">
        <v>7443.11</v>
      </c>
      <c r="J218" s="18">
        <v>4042.19</v>
      </c>
      <c r="K218" s="18">
        <v>1832.5</v>
      </c>
      <c r="L218" s="19">
        <f>SUM(F218:K218)</f>
        <v>88539.122518626609</v>
      </c>
      <c r="M218" s="8"/>
      <c r="N218" s="271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1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261564.57538987126</v>
      </c>
      <c r="G220" s="18">
        <v>124788.67541716738</v>
      </c>
      <c r="H220" s="18">
        <v>39836.195476223176</v>
      </c>
      <c r="I220" s="18">
        <v>2043.5010652360515</v>
      </c>
      <c r="J220" s="18">
        <v>505.26506437768245</v>
      </c>
      <c r="K220" s="18">
        <v>170</v>
      </c>
      <c r="L220" s="19">
        <f t="shared" ref="L220:L226" si="2">SUM(F220:K220)</f>
        <v>428908.21241287555</v>
      </c>
      <c r="M220" s="8"/>
      <c r="N220" s="271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101919.91669356223</v>
      </c>
      <c r="G221" s="18">
        <v>41702.16041081545</v>
      </c>
      <c r="H221" s="18">
        <v>11816.249526523605</v>
      </c>
      <c r="I221" s="18">
        <v>9565.5882272961371</v>
      </c>
      <c r="J221" s="18">
        <v>35590.803005493566</v>
      </c>
      <c r="K221" s="18">
        <v>35938.383593133047</v>
      </c>
      <c r="L221" s="19">
        <f t="shared" si="2"/>
        <v>236533.10145682402</v>
      </c>
      <c r="M221" s="8"/>
      <c r="N221" s="271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155465.04699313306</v>
      </c>
      <c r="G222" s="18">
        <v>75468.718834506421</v>
      </c>
      <c r="H222" s="18">
        <v>22496.358765665242</v>
      </c>
      <c r="I222" s="18">
        <v>2193.0950503004287</v>
      </c>
      <c r="J222" s="18">
        <v>830.05780789699566</v>
      </c>
      <c r="K222" s="18">
        <v>2470.3617012875538</v>
      </c>
      <c r="L222" s="19">
        <f t="shared" si="2"/>
        <v>258923.63915278972</v>
      </c>
      <c r="M222" s="8"/>
      <c r="N222" s="271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180600.45</v>
      </c>
      <c r="G223" s="18">
        <v>108785.55000000002</v>
      </c>
      <c r="H223" s="18">
        <v>3891.5</v>
      </c>
      <c r="I223" s="18">
        <v>5493.88</v>
      </c>
      <c r="J223" s="18">
        <v>0</v>
      </c>
      <c r="K223" s="18">
        <v>1145</v>
      </c>
      <c r="L223" s="19">
        <f t="shared" si="2"/>
        <v>299916.38</v>
      </c>
      <c r="M223" s="8"/>
      <c r="N223" s="271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1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144826.53319227468</v>
      </c>
      <c r="G225" s="18">
        <v>60394.983413733906</v>
      </c>
      <c r="H225" s="18">
        <v>170099.89382386266</v>
      </c>
      <c r="I225" s="18">
        <v>97491.005589356224</v>
      </c>
      <c r="J225" s="18">
        <v>14911.572654935622</v>
      </c>
      <c r="K225" s="18">
        <v>0</v>
      </c>
      <c r="L225" s="19">
        <f t="shared" si="2"/>
        <v>487723.98867416312</v>
      </c>
      <c r="M225" s="8"/>
      <c r="N225" s="271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248767.40213854078</v>
      </c>
      <c r="I226" s="18">
        <v>26769.486742145924</v>
      </c>
      <c r="J226" s="18">
        <v>0</v>
      </c>
      <c r="K226" s="18">
        <v>0</v>
      </c>
      <c r="L226" s="19">
        <f t="shared" si="2"/>
        <v>275536.88888068672</v>
      </c>
      <c r="M226" s="8"/>
      <c r="N226" s="271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1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1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2647921.5922688413</v>
      </c>
      <c r="G229" s="41">
        <f>SUM(G215:G228)</f>
        <v>1299156.7729763091</v>
      </c>
      <c r="H229" s="41">
        <f>SUM(H215:H228)</f>
        <v>646627.53435261804</v>
      </c>
      <c r="I229" s="41">
        <f>SUM(I215:I228)</f>
        <v>194824.57667433479</v>
      </c>
      <c r="J229" s="41">
        <f>SUM(J215:J228)</f>
        <v>82952.328532703861</v>
      </c>
      <c r="K229" s="41">
        <f t="shared" si="3"/>
        <v>43497.339715021459</v>
      </c>
      <c r="L229" s="41">
        <f t="shared" si="3"/>
        <v>4914980.1445198283</v>
      </c>
      <c r="M229" s="8"/>
      <c r="N229" s="271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6" t="s">
        <v>687</v>
      </c>
      <c r="G230" s="176" t="s">
        <v>688</v>
      </c>
      <c r="H230" s="176" t="s">
        <v>689</v>
      </c>
      <c r="I230" s="176" t="s">
        <v>690</v>
      </c>
      <c r="J230" s="176" t="s">
        <v>691</v>
      </c>
      <c r="K230" s="176" t="s">
        <v>692</v>
      </c>
      <c r="L230" s="67"/>
      <c r="M230" s="8"/>
      <c r="N230" s="271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1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1655684.16</v>
      </c>
      <c r="G233" s="18">
        <v>903157.08000000007</v>
      </c>
      <c r="H233" s="18">
        <v>30580.87034334764</v>
      </c>
      <c r="I233" s="18">
        <v>41638.99</v>
      </c>
      <c r="J233" s="18">
        <v>10525.76</v>
      </c>
      <c r="K233" s="18">
        <v>6122.7398068669527</v>
      </c>
      <c r="L233" s="19">
        <f>SUM(F233:K233)</f>
        <v>2647709.6001502145</v>
      </c>
      <c r="M233" s="8"/>
      <c r="N233" s="271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595938.48</v>
      </c>
      <c r="G234" s="18">
        <v>316436.52</v>
      </c>
      <c r="H234" s="18">
        <v>136077.69975107294</v>
      </c>
      <c r="I234" s="18">
        <v>3065.51</v>
      </c>
      <c r="J234" s="18">
        <v>2153.02</v>
      </c>
      <c r="K234" s="18">
        <v>1056</v>
      </c>
      <c r="L234" s="19">
        <f>SUM(F234:K234)</f>
        <v>1054727.2297510728</v>
      </c>
      <c r="M234" s="8"/>
      <c r="N234" s="271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24905.66</v>
      </c>
      <c r="I235" s="18">
        <v>0</v>
      </c>
      <c r="J235" s="18">
        <v>0</v>
      </c>
      <c r="K235" s="18">
        <v>0</v>
      </c>
      <c r="L235" s="19">
        <f>SUM(F235:K235)</f>
        <v>24905.66</v>
      </c>
      <c r="M235" s="8"/>
      <c r="N235" s="271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192187.39</v>
      </c>
      <c r="G236" s="18">
        <v>48771.196186695277</v>
      </c>
      <c r="H236" s="18">
        <v>34419.656326180258</v>
      </c>
      <c r="I236" s="18">
        <v>26740.5</v>
      </c>
      <c r="J236" s="18">
        <v>8265.66</v>
      </c>
      <c r="K236" s="18">
        <v>12520.81</v>
      </c>
      <c r="L236" s="19">
        <f>SUM(F236:K236)</f>
        <v>322905.2125128755</v>
      </c>
      <c r="M236" s="8"/>
      <c r="N236" s="271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1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340769.52996995713</v>
      </c>
      <c r="G238" s="18">
        <v>111526.11983905581</v>
      </c>
      <c r="H238" s="18">
        <v>80827.106285407717</v>
      </c>
      <c r="I238" s="18">
        <v>5328.4543884120167</v>
      </c>
      <c r="J238" s="18">
        <v>577.54502145922743</v>
      </c>
      <c r="K238" s="18">
        <v>250</v>
      </c>
      <c r="L238" s="19">
        <f t="shared" ref="L238:L244" si="4">SUM(F238:K238)</f>
        <v>539278.75550429197</v>
      </c>
      <c r="M238" s="8"/>
      <c r="N238" s="271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92144.188497854077</v>
      </c>
      <c r="G239" s="18">
        <v>55400.457023605151</v>
      </c>
      <c r="H239" s="18">
        <v>12481.734188841201</v>
      </c>
      <c r="I239" s="18">
        <v>19456.752369098715</v>
      </c>
      <c r="J239" s="18">
        <v>66957.898448497843</v>
      </c>
      <c r="K239" s="18">
        <v>57078.255064377678</v>
      </c>
      <c r="L239" s="19">
        <f t="shared" si="4"/>
        <v>303519.28559227462</v>
      </c>
      <c r="M239" s="8"/>
      <c r="N239" s="271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199590.58756437767</v>
      </c>
      <c r="G240" s="18">
        <v>94986.509551502138</v>
      </c>
      <c r="H240" s="18">
        <v>27959.850321888414</v>
      </c>
      <c r="I240" s="18">
        <v>2729.2004034334759</v>
      </c>
      <c r="J240" s="18">
        <v>1032.9666759656652</v>
      </c>
      <c r="K240" s="18">
        <v>3074.2453004291847</v>
      </c>
      <c r="L240" s="19">
        <f t="shared" si="4"/>
        <v>329373.3598175965</v>
      </c>
      <c r="M240" s="8"/>
      <c r="N240" s="271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234078.56999999998</v>
      </c>
      <c r="G241" s="18">
        <v>132189.01999999999</v>
      </c>
      <c r="H241" s="18">
        <v>14793.860000000002</v>
      </c>
      <c r="I241" s="18">
        <v>21320.140000000003</v>
      </c>
      <c r="J241" s="18">
        <v>2266.09</v>
      </c>
      <c r="K241" s="18">
        <v>5137.97</v>
      </c>
      <c r="L241" s="19">
        <f t="shared" si="4"/>
        <v>409785.64999999997</v>
      </c>
      <c r="M241" s="8"/>
      <c r="N241" s="271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1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197613.51069742491</v>
      </c>
      <c r="G243" s="18">
        <v>78176.757371244632</v>
      </c>
      <c r="H243" s="18">
        <v>152885.74490128754</v>
      </c>
      <c r="I243" s="18">
        <v>139234.2728497854</v>
      </c>
      <c r="J243" s="18">
        <v>9909.5569849785406</v>
      </c>
      <c r="K243" s="18">
        <v>0</v>
      </c>
      <c r="L243" s="19">
        <f t="shared" si="4"/>
        <v>577819.84280472097</v>
      </c>
      <c r="M243" s="8"/>
      <c r="N243" s="271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429610.47282618028</v>
      </c>
      <c r="I244" s="18">
        <v>33313.327667381971</v>
      </c>
      <c r="J244" s="18">
        <v>0</v>
      </c>
      <c r="K244" s="18">
        <v>0</v>
      </c>
      <c r="L244" s="19">
        <f t="shared" si="4"/>
        <v>462923.80049356224</v>
      </c>
      <c r="M244" s="8"/>
      <c r="N244" s="271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1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1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3508006.4167296132</v>
      </c>
      <c r="G247" s="41">
        <f t="shared" si="5"/>
        <v>1740643.6599721033</v>
      </c>
      <c r="H247" s="41">
        <f t="shared" si="5"/>
        <v>944542.65494420589</v>
      </c>
      <c r="I247" s="41">
        <f t="shared" si="5"/>
        <v>292827.14767811156</v>
      </c>
      <c r="J247" s="41">
        <f t="shared" si="5"/>
        <v>101688.49713090128</v>
      </c>
      <c r="K247" s="41">
        <f t="shared" si="5"/>
        <v>85240.020171673823</v>
      </c>
      <c r="L247" s="41">
        <f t="shared" si="5"/>
        <v>6672948.3966266094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687</v>
      </c>
      <c r="G248" s="176" t="s">
        <v>688</v>
      </c>
      <c r="H248" s="176" t="s">
        <v>689</v>
      </c>
      <c r="I248" s="176" t="s">
        <v>690</v>
      </c>
      <c r="J248" s="176" t="s">
        <v>691</v>
      </c>
      <c r="K248" s="176" t="s">
        <v>692</v>
      </c>
      <c r="L248" s="67"/>
      <c r="M248" s="8"/>
      <c r="N248" s="271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1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619257.25</v>
      </c>
      <c r="I255" s="18">
        <v>0</v>
      </c>
      <c r="J255" s="18">
        <v>0</v>
      </c>
      <c r="K255" s="18">
        <v>0</v>
      </c>
      <c r="L255" s="19">
        <f t="shared" si="6"/>
        <v>619257.25</v>
      </c>
      <c r="M255" s="8"/>
      <c r="N255" s="271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619257.25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619257.25</v>
      </c>
      <c r="M256" s="8"/>
      <c r="N256" s="271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10729115.57</v>
      </c>
      <c r="G257" s="41">
        <f t="shared" si="8"/>
        <v>5287635.1500000004</v>
      </c>
      <c r="H257" s="41">
        <f t="shared" si="8"/>
        <v>3324822.4699999997</v>
      </c>
      <c r="I257" s="41">
        <f t="shared" si="8"/>
        <v>847684.15</v>
      </c>
      <c r="J257" s="41">
        <f t="shared" si="8"/>
        <v>309192.34999999998</v>
      </c>
      <c r="K257" s="41">
        <f t="shared" si="8"/>
        <v>207471.59000000003</v>
      </c>
      <c r="L257" s="41">
        <f t="shared" si="8"/>
        <v>20705921.280000001</v>
      </c>
      <c r="M257" s="8"/>
      <c r="N257" s="271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1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1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177138.54</v>
      </c>
      <c r="L260" s="19">
        <f>SUM(F260:K260)</f>
        <v>177138.54</v>
      </c>
      <c r="M260" s="8"/>
      <c r="N260" s="271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85867.91</v>
      </c>
      <c r="L261" s="19">
        <f>SUM(F261:K261)</f>
        <v>85867.91</v>
      </c>
      <c r="N261" s="269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9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40000</v>
      </c>
      <c r="L263" s="19">
        <f>SUM(F263:K263)</f>
        <v>40000</v>
      </c>
      <c r="N263" s="269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69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69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9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69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69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403006.45</v>
      </c>
      <c r="L270" s="41">
        <f t="shared" si="9"/>
        <v>403006.45</v>
      </c>
      <c r="N270" s="269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10729115.57</v>
      </c>
      <c r="G271" s="42">
        <f t="shared" si="11"/>
        <v>5287635.1500000004</v>
      </c>
      <c r="H271" s="42">
        <f t="shared" si="11"/>
        <v>3324822.4699999997</v>
      </c>
      <c r="I271" s="42">
        <f t="shared" si="11"/>
        <v>847684.15</v>
      </c>
      <c r="J271" s="42">
        <f t="shared" si="11"/>
        <v>309192.34999999998</v>
      </c>
      <c r="K271" s="42">
        <f t="shared" si="11"/>
        <v>610478.04</v>
      </c>
      <c r="L271" s="42">
        <f t="shared" si="11"/>
        <v>21108927.73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464</v>
      </c>
      <c r="F273" s="176" t="s">
        <v>687</v>
      </c>
      <c r="G273" s="176" t="s">
        <v>688</v>
      </c>
      <c r="H273" s="176" t="s">
        <v>689</v>
      </c>
      <c r="I273" s="176" t="s">
        <v>690</v>
      </c>
      <c r="J273" s="176" t="s">
        <v>691</v>
      </c>
      <c r="K273" s="176" t="s">
        <v>692</v>
      </c>
      <c r="M273" s="8"/>
      <c r="N273" s="271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1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264934.78000000003</v>
      </c>
      <c r="G276" s="18">
        <v>145461.93</v>
      </c>
      <c r="H276" s="18">
        <v>3250</v>
      </c>
      <c r="I276" s="18">
        <v>7854.34</v>
      </c>
      <c r="J276" s="18">
        <v>20837.650000000001</v>
      </c>
      <c r="K276" s="18">
        <v>0</v>
      </c>
      <c r="L276" s="19">
        <f>SUM(F276:K276)</f>
        <v>442338.70000000007</v>
      </c>
      <c r="M276" s="8"/>
      <c r="N276" s="271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20310.049416566522</v>
      </c>
      <c r="G277" s="18">
        <v>828.28886309012864</v>
      </c>
      <c r="H277" s="18">
        <v>3061.2545006008581</v>
      </c>
      <c r="I277" s="18">
        <v>204.96</v>
      </c>
      <c r="J277" s="18">
        <v>767.36</v>
      </c>
      <c r="K277" s="18">
        <v>0</v>
      </c>
      <c r="L277" s="19">
        <f>SUM(F277:K277)</f>
        <v>25171.912780257509</v>
      </c>
      <c r="M277" s="8"/>
      <c r="N277" s="271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150110.69</v>
      </c>
      <c r="G279" s="18">
        <v>8693.5099999999984</v>
      </c>
      <c r="H279" s="18">
        <v>11115</v>
      </c>
      <c r="I279" s="18">
        <v>14203.66</v>
      </c>
      <c r="J279" s="18">
        <v>0</v>
      </c>
      <c r="K279" s="18">
        <v>970</v>
      </c>
      <c r="L279" s="19">
        <f>SUM(F279:K279)</f>
        <v>185092.86000000002</v>
      </c>
      <c r="M279" s="8"/>
      <c r="N279" s="271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1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48960.000000000007</v>
      </c>
      <c r="G281" s="18">
        <v>3695.65</v>
      </c>
      <c r="H281" s="18">
        <v>61641.969049699561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114297.61904969957</v>
      </c>
      <c r="M281" s="8"/>
      <c r="N281" s="271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13662.5</v>
      </c>
      <c r="G282" s="18">
        <v>2933.3599999999992</v>
      </c>
      <c r="H282" s="18">
        <v>17052.157713819739</v>
      </c>
      <c r="I282" s="18">
        <v>2784.8440466094421</v>
      </c>
      <c r="J282" s="18">
        <v>0</v>
      </c>
      <c r="K282" s="18">
        <v>0</v>
      </c>
      <c r="L282" s="19">
        <f t="shared" si="12"/>
        <v>36432.861760429179</v>
      </c>
      <c r="M282" s="8"/>
      <c r="N282" s="271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6511.8099999999995</v>
      </c>
      <c r="G283" s="18">
        <v>8883.8609298712454</v>
      </c>
      <c r="H283" s="18">
        <v>907.51</v>
      </c>
      <c r="I283" s="18">
        <v>0</v>
      </c>
      <c r="J283" s="18">
        <v>0</v>
      </c>
      <c r="K283" s="18">
        <v>0</v>
      </c>
      <c r="L283" s="19">
        <f t="shared" si="12"/>
        <v>16303.180929871245</v>
      </c>
      <c r="M283" s="8"/>
      <c r="N283" s="271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1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38488.689999999995</v>
      </c>
      <c r="I287" s="18">
        <v>0</v>
      </c>
      <c r="J287" s="18">
        <v>0</v>
      </c>
      <c r="K287" s="18">
        <v>0</v>
      </c>
      <c r="L287" s="19">
        <f t="shared" si="12"/>
        <v>38488.689999999995</v>
      </c>
      <c r="M287" s="8"/>
      <c r="N287" s="271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1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504489.82941656653</v>
      </c>
      <c r="G290" s="42">
        <f t="shared" si="13"/>
        <v>170496.59979296135</v>
      </c>
      <c r="H290" s="42">
        <f t="shared" si="13"/>
        <v>135516.58126412015</v>
      </c>
      <c r="I290" s="42">
        <f t="shared" si="13"/>
        <v>25047.804046609443</v>
      </c>
      <c r="J290" s="42">
        <f t="shared" si="13"/>
        <v>21605.010000000002</v>
      </c>
      <c r="K290" s="42">
        <f t="shared" si="13"/>
        <v>970</v>
      </c>
      <c r="L290" s="41">
        <f t="shared" si="13"/>
        <v>858125.82452025765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6" t="s">
        <v>687</v>
      </c>
      <c r="G292" s="176" t="s">
        <v>688</v>
      </c>
      <c r="H292" s="176" t="s">
        <v>689</v>
      </c>
      <c r="I292" s="176" t="s">
        <v>690</v>
      </c>
      <c r="J292" s="176" t="s">
        <v>691</v>
      </c>
      <c r="K292" s="176" t="s">
        <v>692</v>
      </c>
      <c r="L292" s="17"/>
      <c r="M292" s="8"/>
      <c r="N292" s="271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1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4279.76</v>
      </c>
      <c r="I295" s="18">
        <v>493.32</v>
      </c>
      <c r="J295" s="18">
        <v>0</v>
      </c>
      <c r="K295" s="18">
        <v>500</v>
      </c>
      <c r="L295" s="19">
        <f>SUM(F295:K295)</f>
        <v>5273.08</v>
      </c>
      <c r="M295" s="8"/>
      <c r="N295" s="271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69799.496482575109</v>
      </c>
      <c r="G296" s="18">
        <v>34757.282177682406</v>
      </c>
      <c r="H296" s="18">
        <v>1646.1151045493564</v>
      </c>
      <c r="I296" s="18">
        <v>0</v>
      </c>
      <c r="J296" s="18">
        <v>0</v>
      </c>
      <c r="K296" s="18">
        <v>0</v>
      </c>
      <c r="L296" s="19">
        <f>SUM(F296:K296)</f>
        <v>106202.89376480688</v>
      </c>
      <c r="M296" s="8"/>
      <c r="N296" s="271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28896.74</v>
      </c>
      <c r="G298" s="18">
        <v>0</v>
      </c>
      <c r="H298" s="18">
        <v>2670</v>
      </c>
      <c r="I298" s="18">
        <v>1846.09</v>
      </c>
      <c r="J298" s="18">
        <v>0</v>
      </c>
      <c r="K298" s="18">
        <v>128</v>
      </c>
      <c r="L298" s="19">
        <f>SUM(F298:K298)</f>
        <v>33540.83</v>
      </c>
      <c r="M298" s="8"/>
      <c r="N298" s="271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1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33146.46864772532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33146.46864772532</v>
      </c>
      <c r="M300" s="8"/>
      <c r="N300" s="271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300</v>
      </c>
      <c r="G301" s="18">
        <v>18.64</v>
      </c>
      <c r="H301" s="18">
        <v>14804.888204635192</v>
      </c>
      <c r="I301" s="18">
        <v>2533.0521100429187</v>
      </c>
      <c r="J301" s="18">
        <v>0</v>
      </c>
      <c r="K301" s="18">
        <v>0</v>
      </c>
      <c r="L301" s="19">
        <f t="shared" si="14"/>
        <v>17656.580314678111</v>
      </c>
      <c r="M301" s="8"/>
      <c r="N301" s="271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1632.96</v>
      </c>
      <c r="G302" s="18">
        <v>4758.119797596567</v>
      </c>
      <c r="H302" s="18">
        <v>259.7</v>
      </c>
      <c r="I302" s="18">
        <v>0</v>
      </c>
      <c r="J302" s="18">
        <v>0</v>
      </c>
      <c r="K302" s="18">
        <v>0</v>
      </c>
      <c r="L302" s="19">
        <f t="shared" si="14"/>
        <v>6650.7797975965668</v>
      </c>
      <c r="M302" s="8"/>
      <c r="N302" s="271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8526.57</v>
      </c>
      <c r="I306" s="18">
        <v>0</v>
      </c>
      <c r="J306" s="18">
        <v>0</v>
      </c>
      <c r="K306" s="18">
        <v>0</v>
      </c>
      <c r="L306" s="19">
        <f t="shared" si="14"/>
        <v>8526.57</v>
      </c>
      <c r="M306" s="8"/>
      <c r="N306" s="271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1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100629.19648257512</v>
      </c>
      <c r="G309" s="42">
        <f t="shared" si="15"/>
        <v>39534.041975278975</v>
      </c>
      <c r="H309" s="42">
        <f t="shared" si="15"/>
        <v>65333.501956909866</v>
      </c>
      <c r="I309" s="42">
        <f t="shared" si="15"/>
        <v>4872.4621100429185</v>
      </c>
      <c r="J309" s="42">
        <f t="shared" si="15"/>
        <v>0</v>
      </c>
      <c r="K309" s="42">
        <f t="shared" si="15"/>
        <v>628</v>
      </c>
      <c r="L309" s="41">
        <f t="shared" si="15"/>
        <v>210997.2025248069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6" t="s">
        <v>687</v>
      </c>
      <c r="G311" s="176" t="s">
        <v>688</v>
      </c>
      <c r="H311" s="176" t="s">
        <v>689</v>
      </c>
      <c r="I311" s="176" t="s">
        <v>690</v>
      </c>
      <c r="J311" s="176" t="s">
        <v>691</v>
      </c>
      <c r="K311" s="176" t="s">
        <v>692</v>
      </c>
      <c r="L311" s="20"/>
      <c r="M311" s="8"/>
      <c r="N311" s="271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1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3150</v>
      </c>
      <c r="I314" s="18">
        <v>2773.1</v>
      </c>
      <c r="J314" s="18">
        <v>697.95</v>
      </c>
      <c r="K314" s="18">
        <v>0</v>
      </c>
      <c r="L314" s="19">
        <f>SUM(F314:K314)</f>
        <v>6621.05</v>
      </c>
      <c r="M314" s="8"/>
      <c r="N314" s="271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6599.944100858369</v>
      </c>
      <c r="G315" s="18">
        <v>554.2689592274678</v>
      </c>
      <c r="H315" s="18">
        <v>6045.2303948497847</v>
      </c>
      <c r="I315" s="18">
        <v>0</v>
      </c>
      <c r="J315" s="18">
        <v>0</v>
      </c>
      <c r="K315" s="18">
        <v>0</v>
      </c>
      <c r="L315" s="19">
        <f>SUM(F315:K315)</f>
        <v>13199.443454935621</v>
      </c>
      <c r="M315" s="8"/>
      <c r="N315" s="271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28411.69</v>
      </c>
      <c r="G317" s="18">
        <v>436.06</v>
      </c>
      <c r="H317" s="18">
        <v>5870.65</v>
      </c>
      <c r="I317" s="18">
        <v>6378.29</v>
      </c>
      <c r="J317" s="18">
        <v>0</v>
      </c>
      <c r="K317" s="18">
        <v>884</v>
      </c>
      <c r="L317" s="19">
        <f>SUM(F317:K317)</f>
        <v>41980.69</v>
      </c>
      <c r="M317" s="8"/>
      <c r="N317" s="271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1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10000.030000000001</v>
      </c>
      <c r="G319" s="18">
        <v>1084.98</v>
      </c>
      <c r="H319" s="18">
        <v>41249.172302575105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52334.182302575107</v>
      </c>
      <c r="M319" s="8"/>
      <c r="N319" s="271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525</v>
      </c>
      <c r="G320" s="18">
        <v>38.28</v>
      </c>
      <c r="H320" s="18">
        <v>38227.334081545065</v>
      </c>
      <c r="I320" s="18">
        <v>1863.5438433476395</v>
      </c>
      <c r="J320" s="18">
        <v>0</v>
      </c>
      <c r="K320" s="18">
        <v>750</v>
      </c>
      <c r="L320" s="19">
        <f t="shared" si="16"/>
        <v>41404.157924892701</v>
      </c>
      <c r="M320" s="8"/>
      <c r="N320" s="271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1632.81</v>
      </c>
      <c r="G321" s="18">
        <v>5921.249272532189</v>
      </c>
      <c r="H321" s="18">
        <v>259.7</v>
      </c>
      <c r="I321" s="18">
        <v>0</v>
      </c>
      <c r="J321" s="18">
        <v>0</v>
      </c>
      <c r="K321" s="18">
        <v>0</v>
      </c>
      <c r="L321" s="19">
        <f t="shared" si="16"/>
        <v>7813.7592725321892</v>
      </c>
      <c r="M321" s="8"/>
      <c r="N321" s="271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10722.660000000002</v>
      </c>
      <c r="I325" s="18">
        <v>0</v>
      </c>
      <c r="J325" s="18">
        <v>0</v>
      </c>
      <c r="K325" s="18">
        <v>0</v>
      </c>
      <c r="L325" s="19">
        <f t="shared" si="16"/>
        <v>10722.660000000002</v>
      </c>
      <c r="M325" s="8"/>
      <c r="N325" s="271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1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47169.474100858366</v>
      </c>
      <c r="G328" s="42">
        <f t="shared" si="17"/>
        <v>8034.838231759657</v>
      </c>
      <c r="H328" s="42">
        <f t="shared" si="17"/>
        <v>105524.74677896996</v>
      </c>
      <c r="I328" s="42">
        <f t="shared" si="17"/>
        <v>11014.933843347639</v>
      </c>
      <c r="J328" s="42">
        <f t="shared" si="17"/>
        <v>697.95</v>
      </c>
      <c r="K328" s="42">
        <f t="shared" si="17"/>
        <v>1634</v>
      </c>
      <c r="L328" s="41">
        <f t="shared" si="17"/>
        <v>174075.94295493563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6" t="s">
        <v>687</v>
      </c>
      <c r="G330" s="176" t="s">
        <v>688</v>
      </c>
      <c r="H330" s="176" t="s">
        <v>689</v>
      </c>
      <c r="I330" s="176" t="s">
        <v>690</v>
      </c>
      <c r="J330" s="176" t="s">
        <v>691</v>
      </c>
      <c r="K330" s="176" t="s">
        <v>692</v>
      </c>
      <c r="L330" s="19"/>
      <c r="M330" s="8"/>
      <c r="N330" s="271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1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1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652288.5</v>
      </c>
      <c r="G338" s="41">
        <f t="shared" si="20"/>
        <v>218065.47999999998</v>
      </c>
      <c r="H338" s="41">
        <f t="shared" si="20"/>
        <v>306374.82999999996</v>
      </c>
      <c r="I338" s="41">
        <f t="shared" si="20"/>
        <v>40935.199999999997</v>
      </c>
      <c r="J338" s="41">
        <f t="shared" si="20"/>
        <v>22302.960000000003</v>
      </c>
      <c r="K338" s="41">
        <f t="shared" si="20"/>
        <v>3232</v>
      </c>
      <c r="L338" s="41">
        <f t="shared" si="20"/>
        <v>1243198.9700000002</v>
      </c>
      <c r="M338" s="8"/>
      <c r="N338" s="271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1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1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1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652288.5</v>
      </c>
      <c r="G352" s="41">
        <f>G338</f>
        <v>218065.47999999998</v>
      </c>
      <c r="H352" s="41">
        <f>H338</f>
        <v>306374.82999999996</v>
      </c>
      <c r="I352" s="41">
        <f>I338</f>
        <v>40935.199999999997</v>
      </c>
      <c r="J352" s="41">
        <f>J338</f>
        <v>22302.960000000003</v>
      </c>
      <c r="K352" s="47">
        <f>K338+K351</f>
        <v>3232</v>
      </c>
      <c r="L352" s="41">
        <f>L338+L351</f>
        <v>1243198.9700000002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687</v>
      </c>
      <c r="G354" s="176" t="s">
        <v>688</v>
      </c>
      <c r="H354" s="176" t="s">
        <v>689</v>
      </c>
      <c r="I354" s="176" t="s">
        <v>690</v>
      </c>
      <c r="J354" s="176" t="s">
        <v>691</v>
      </c>
      <c r="K354" s="176" t="s">
        <v>692</v>
      </c>
      <c r="L354" s="53"/>
      <c r="M354" s="8"/>
      <c r="N354" s="271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1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1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240959.50487012873</v>
      </c>
      <c r="I358" s="18">
        <v>146.87</v>
      </c>
      <c r="J358" s="18">
        <v>0</v>
      </c>
      <c r="K358" s="18">
        <v>1346.0062188841202</v>
      </c>
      <c r="L358" s="13">
        <f>SUM(F358:K358)</f>
        <v>242452.38108901284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129570.10940240342</v>
      </c>
      <c r="I359" s="18">
        <v>117.67</v>
      </c>
      <c r="J359" s="18">
        <v>0</v>
      </c>
      <c r="K359" s="18">
        <v>723.78208583690991</v>
      </c>
      <c r="L359" s="19">
        <f>SUM(F359:K359)</f>
        <v>130411.56148824033</v>
      </c>
      <c r="M359" s="8"/>
      <c r="N359" s="271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161243.71572746779</v>
      </c>
      <c r="I360" s="18">
        <v>22.39</v>
      </c>
      <c r="J360" s="18">
        <v>0</v>
      </c>
      <c r="K360" s="18">
        <v>900.71169527896996</v>
      </c>
      <c r="L360" s="19">
        <f>SUM(F360:K360)</f>
        <v>162166.81742274677</v>
      </c>
      <c r="M360" s="8"/>
      <c r="N360" s="271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531773.32999999996</v>
      </c>
      <c r="I362" s="47">
        <f t="shared" si="22"/>
        <v>286.93</v>
      </c>
      <c r="J362" s="47">
        <f t="shared" si="22"/>
        <v>0</v>
      </c>
      <c r="K362" s="47">
        <f t="shared" si="22"/>
        <v>2970.5</v>
      </c>
      <c r="L362" s="47">
        <f t="shared" si="22"/>
        <v>535030.75999999989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1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1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146.87</v>
      </c>
      <c r="G368" s="63">
        <v>117.67</v>
      </c>
      <c r="H368" s="63">
        <v>22.389999999999997</v>
      </c>
      <c r="I368" s="56">
        <f>SUM(F368:H368)</f>
        <v>286.93</v>
      </c>
      <c r="J368" s="24" t="s">
        <v>286</v>
      </c>
      <c r="K368" s="24" t="s">
        <v>286</v>
      </c>
      <c r="L368" s="24" t="s">
        <v>286</v>
      </c>
      <c r="M368" s="8"/>
      <c r="N368" s="271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146.87</v>
      </c>
      <c r="G369" s="47">
        <f>SUM(G367:G368)</f>
        <v>117.67</v>
      </c>
      <c r="H369" s="47">
        <f>SUM(H367:H368)</f>
        <v>22.389999999999997</v>
      </c>
      <c r="I369" s="47">
        <f>SUM(I367:I368)</f>
        <v>286.93</v>
      </c>
      <c r="J369" s="24" t="s">
        <v>286</v>
      </c>
      <c r="K369" s="24" t="s">
        <v>286</v>
      </c>
      <c r="L369" s="24" t="s">
        <v>286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6" t="s">
        <v>687</v>
      </c>
      <c r="G371" s="176" t="s">
        <v>688</v>
      </c>
      <c r="H371" s="176" t="s">
        <v>689</v>
      </c>
      <c r="I371" s="176" t="s">
        <v>690</v>
      </c>
      <c r="J371" s="176" t="s">
        <v>691</v>
      </c>
      <c r="K371" s="176" t="s">
        <v>692</v>
      </c>
      <c r="L371" s="13"/>
      <c r="M371" s="8"/>
      <c r="N371" s="271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1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1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59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1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1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100000</v>
      </c>
      <c r="H396" s="18">
        <v>1316.28</v>
      </c>
      <c r="I396" s="18">
        <v>0</v>
      </c>
      <c r="J396" s="24" t="s">
        <v>286</v>
      </c>
      <c r="K396" s="24" t="s">
        <v>286</v>
      </c>
      <c r="L396" s="56">
        <f t="shared" si="26"/>
        <v>101316.28</v>
      </c>
      <c r="M396" s="8"/>
      <c r="N396" s="271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1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723.21</v>
      </c>
      <c r="I400" s="18">
        <v>0</v>
      </c>
      <c r="J400" s="24" t="s">
        <v>286</v>
      </c>
      <c r="K400" s="24" t="s">
        <v>286</v>
      </c>
      <c r="L400" s="56">
        <f t="shared" si="26"/>
        <v>723.21</v>
      </c>
      <c r="M400" s="8"/>
      <c r="N400" s="271"/>
    </row>
    <row r="401" spans="1:35" s="3" customFormat="1" ht="12.2" customHeight="1" thickTop="1" x14ac:dyDescent="0.15">
      <c r="A401" s="159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2039.49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102039.49</v>
      </c>
      <c r="M401" s="8"/>
      <c r="N401" s="271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1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1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1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1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1"/>
    </row>
    <row r="407" spans="1:35" s="3" customFormat="1" ht="12.2" customHeight="1" thickTop="1" thickBot="1" x14ac:dyDescent="0.2">
      <c r="A407" s="159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1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2039.49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102039.49</v>
      </c>
      <c r="M408" s="8"/>
      <c r="N408" s="271"/>
    </row>
    <row r="409" spans="1:35" s="3" customFormat="1" ht="12.2" customHeight="1" x14ac:dyDescent="0.15">
      <c r="A409" s="78"/>
      <c r="B409" s="2"/>
      <c r="C409" s="6"/>
      <c r="D409" s="6"/>
      <c r="E409" s="6"/>
      <c r="F409" s="176" t="s">
        <v>687</v>
      </c>
      <c r="G409" s="176" t="s">
        <v>688</v>
      </c>
      <c r="H409" s="176" t="s">
        <v>689</v>
      </c>
      <c r="I409" s="176" t="s">
        <v>690</v>
      </c>
      <c r="J409" s="176" t="s">
        <v>691</v>
      </c>
      <c r="K409" s="176" t="s">
        <v>692</v>
      </c>
      <c r="L409" s="56"/>
      <c r="M409" s="8"/>
      <c r="N409" s="271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1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1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1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1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1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1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1"/>
    </row>
    <row r="419" spans="1:35" s="3" customFormat="1" ht="12.2" customHeight="1" thickTop="1" x14ac:dyDescent="0.15">
      <c r="A419" s="159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1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1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1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1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1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1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165</v>
      </c>
      <c r="L426" s="56">
        <f t="shared" si="29"/>
        <v>165</v>
      </c>
      <c r="M426" s="8"/>
      <c r="N426" s="271"/>
    </row>
    <row r="427" spans="1:35" s="3" customFormat="1" ht="12.2" customHeight="1" thickTop="1" x14ac:dyDescent="0.15">
      <c r="A427" s="159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165</v>
      </c>
      <c r="L427" s="47">
        <f t="shared" si="30"/>
        <v>165</v>
      </c>
      <c r="M427" s="8"/>
      <c r="N427" s="271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6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59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165</v>
      </c>
      <c r="L434" s="47">
        <f t="shared" si="32"/>
        <v>165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1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130300.07999999999</v>
      </c>
      <c r="H439" s="18">
        <v>0</v>
      </c>
      <c r="I439" s="56">
        <f t="shared" ref="I439:I445" si="33">SUM(F439:H439)</f>
        <v>130300.07999999999</v>
      </c>
      <c r="J439" s="24" t="s">
        <v>286</v>
      </c>
      <c r="K439" s="24" t="s">
        <v>286</v>
      </c>
      <c r="L439" s="24" t="s">
        <v>286</v>
      </c>
      <c r="M439" s="8"/>
      <c r="N439" s="271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443498.06000000006</v>
      </c>
      <c r="H440" s="18">
        <v>0</v>
      </c>
      <c r="I440" s="56">
        <f t="shared" si="33"/>
        <v>443498.06000000006</v>
      </c>
      <c r="J440" s="24" t="s">
        <v>286</v>
      </c>
      <c r="K440" s="24" t="s">
        <v>286</v>
      </c>
      <c r="L440" s="24" t="s">
        <v>286</v>
      </c>
      <c r="M440" s="8"/>
      <c r="N440" s="271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1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1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1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1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1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573798.14</v>
      </c>
      <c r="H446" s="13">
        <f>SUM(H439:H445)</f>
        <v>0</v>
      </c>
      <c r="I446" s="13">
        <f>SUM(I439:I445)</f>
        <v>573798.14</v>
      </c>
      <c r="J446" s="24" t="s">
        <v>286</v>
      </c>
      <c r="K446" s="24" t="s">
        <v>286</v>
      </c>
      <c r="L446" s="24" t="s">
        <v>286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1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1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1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1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1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1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1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1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111632.7</v>
      </c>
      <c r="H457" s="18">
        <v>0</v>
      </c>
      <c r="I457" s="56">
        <f t="shared" si="34"/>
        <v>111632.7</v>
      </c>
      <c r="J457" s="24" t="s">
        <v>286</v>
      </c>
      <c r="K457" s="24" t="s">
        <v>286</v>
      </c>
      <c r="L457" s="24" t="s">
        <v>286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0</v>
      </c>
      <c r="G459" s="18">
        <v>462165.44</v>
      </c>
      <c r="H459" s="18">
        <v>0</v>
      </c>
      <c r="I459" s="56">
        <f t="shared" si="34"/>
        <v>462165.44</v>
      </c>
      <c r="J459" s="24" t="s">
        <v>286</v>
      </c>
      <c r="K459" s="24" t="s">
        <v>286</v>
      </c>
      <c r="L459" s="24" t="s">
        <v>286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573798.14</v>
      </c>
      <c r="H460" s="83">
        <f>SUM(H454:H459)</f>
        <v>0</v>
      </c>
      <c r="I460" s="83">
        <f>SUM(I454:I459)</f>
        <v>573798.14</v>
      </c>
      <c r="J460" s="24" t="s">
        <v>286</v>
      </c>
      <c r="K460" s="24" t="s">
        <v>286</v>
      </c>
      <c r="L460" s="24" t="s">
        <v>286</v>
      </c>
      <c r="N460" s="270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6" t="s">
        <v>430</v>
      </c>
      <c r="E461" s="82"/>
      <c r="F461" s="42">
        <f>F452+F460</f>
        <v>0</v>
      </c>
      <c r="G461" s="42">
        <f>G452+G460</f>
        <v>573798.14</v>
      </c>
      <c r="H461" s="42">
        <f>H452+H460</f>
        <v>0</v>
      </c>
      <c r="I461" s="42">
        <f>I452+I460</f>
        <v>573798.14</v>
      </c>
      <c r="J461" s="24" t="s">
        <v>286</v>
      </c>
      <c r="K461" s="24" t="s">
        <v>286</v>
      </c>
      <c r="L461" s="24" t="s">
        <v>286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430</v>
      </c>
      <c r="E465" s="111"/>
      <c r="F465" s="18">
        <v>717755.76</v>
      </c>
      <c r="G465" s="18">
        <v>13338.010000000009</v>
      </c>
      <c r="H465" s="18">
        <v>0</v>
      </c>
      <c r="I465" s="18">
        <v>0</v>
      </c>
      <c r="J465" s="18">
        <v>478794.26</v>
      </c>
      <c r="K465" s="24" t="s">
        <v>286</v>
      </c>
      <c r="L465" s="24" t="s">
        <v>286</v>
      </c>
      <c r="N465" s="270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0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0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21964213.309999999</v>
      </c>
      <c r="G468" s="18">
        <v>558070.67000000004</v>
      </c>
      <c r="H468" s="18">
        <v>1197566.57</v>
      </c>
      <c r="I468" s="18">
        <v>0</v>
      </c>
      <c r="J468" s="18">
        <v>102039.49</v>
      </c>
      <c r="K468" s="24" t="s">
        <v>286</v>
      </c>
      <c r="L468" s="24" t="s">
        <v>286</v>
      </c>
      <c r="N468" s="270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102592.14</v>
      </c>
      <c r="G469" s="18">
        <v>2225.87</v>
      </c>
      <c r="H469" s="18">
        <f>79428.67-2889.8</f>
        <v>76538.87</v>
      </c>
      <c r="I469" s="18">
        <v>0</v>
      </c>
      <c r="J469" s="18">
        <v>0</v>
      </c>
      <c r="K469" s="24" t="s">
        <v>286</v>
      </c>
      <c r="L469" s="24" t="s">
        <v>286</v>
      </c>
      <c r="N469" s="270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22066805.449999999</v>
      </c>
      <c r="G470" s="53">
        <f>SUM(G468:G469)</f>
        <v>560296.54</v>
      </c>
      <c r="H470" s="53">
        <f>SUM(H468:H469)</f>
        <v>1274105.44</v>
      </c>
      <c r="I470" s="53">
        <f>SUM(I468:I469)</f>
        <v>0</v>
      </c>
      <c r="J470" s="53">
        <f>SUM(J468:J469)</f>
        <v>102039.49</v>
      </c>
      <c r="K470" s="24" t="s">
        <v>286</v>
      </c>
      <c r="L470" s="24" t="s">
        <v>286</v>
      </c>
      <c r="N470" s="270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0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21108927.730000004</v>
      </c>
      <c r="G472" s="18">
        <v>535030.76</v>
      </c>
      <c r="H472" s="18">
        <v>1243198.97</v>
      </c>
      <c r="I472" s="18">
        <v>0</v>
      </c>
      <c r="J472" s="18">
        <v>165</v>
      </c>
      <c r="K472" s="24" t="s">
        <v>286</v>
      </c>
      <c r="L472" s="24" t="s">
        <v>286</v>
      </c>
      <c r="N472" s="270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f>60038.24+470.81</f>
        <v>60509.049999999996</v>
      </c>
      <c r="G473" s="18">
        <v>0</v>
      </c>
      <c r="H473" s="18">
        <v>30906.47</v>
      </c>
      <c r="I473" s="18">
        <v>0</v>
      </c>
      <c r="J473" s="18">
        <v>6870.61</v>
      </c>
      <c r="K473" s="24" t="s">
        <v>286</v>
      </c>
      <c r="L473" s="24" t="s">
        <v>286</v>
      </c>
      <c r="N473" s="270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21169436.780000005</v>
      </c>
      <c r="G474" s="53">
        <f>SUM(G472:G473)</f>
        <v>535030.76</v>
      </c>
      <c r="H474" s="53">
        <f>SUM(H472:H473)</f>
        <v>1274105.44</v>
      </c>
      <c r="I474" s="53">
        <f>SUM(I472:I473)</f>
        <v>0</v>
      </c>
      <c r="J474" s="53">
        <f>SUM(J472:J473)</f>
        <v>7035.61</v>
      </c>
      <c r="K474" s="24" t="s">
        <v>286</v>
      </c>
      <c r="L474" s="24" t="s">
        <v>286</v>
      </c>
      <c r="N474" s="270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1615124.429999996</v>
      </c>
      <c r="G476" s="53">
        <f>(G465+G470)- G474</f>
        <v>38603.790000000037</v>
      </c>
      <c r="H476" s="53">
        <f>(H465+H470)- H474</f>
        <v>0</v>
      </c>
      <c r="I476" s="53">
        <f>(I465+I470)- I474</f>
        <v>0</v>
      </c>
      <c r="J476" s="53">
        <f>(J465+J470)- J474</f>
        <v>573798.14</v>
      </c>
      <c r="K476" s="24" t="s">
        <v>286</v>
      </c>
      <c r="L476" s="24" t="s">
        <v>286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74" t="s">
        <v>916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0"/>
    </row>
    <row r="481" spans="1:14" s="52" customFormat="1" ht="12.2" customHeight="1" x14ac:dyDescent="0.2">
      <c r="A481" s="174" t="s">
        <v>917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0"/>
    </row>
    <row r="483" spans="1:14" s="52" customFormat="1" ht="12.2" customHeight="1" x14ac:dyDescent="0.2">
      <c r="A483" s="173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3" t="s">
        <v>915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0"/>
    </row>
    <row r="485" spans="1:14" s="52" customFormat="1" ht="12.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6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0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3">
        <v>15</v>
      </c>
      <c r="G490" s="153"/>
      <c r="H490" s="153"/>
      <c r="I490" s="153"/>
      <c r="J490" s="153"/>
      <c r="K490" s="24" t="s">
        <v>286</v>
      </c>
      <c r="L490" s="24" t="s">
        <v>286</v>
      </c>
      <c r="N490" s="270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4" t="s">
        <v>912</v>
      </c>
      <c r="G491" s="154"/>
      <c r="H491" s="153"/>
      <c r="I491" s="153"/>
      <c r="J491" s="153"/>
      <c r="K491" s="24" t="s">
        <v>286</v>
      </c>
      <c r="L491" s="24" t="s">
        <v>286</v>
      </c>
      <c r="N491" s="270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4" t="s">
        <v>913</v>
      </c>
      <c r="G492" s="154"/>
      <c r="H492" s="153"/>
      <c r="I492" s="153"/>
      <c r="J492" s="153"/>
      <c r="K492" s="24" t="s">
        <v>286</v>
      </c>
      <c r="L492" s="24" t="s">
        <v>286</v>
      </c>
      <c r="N492" s="270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2657078</v>
      </c>
      <c r="G493" s="18"/>
      <c r="H493" s="18"/>
      <c r="I493" s="18"/>
      <c r="J493" s="18"/>
      <c r="K493" s="24" t="s">
        <v>286</v>
      </c>
      <c r="L493" s="24" t="s">
        <v>286</v>
      </c>
      <c r="N493" s="270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5.54</v>
      </c>
      <c r="G494" s="18"/>
      <c r="H494" s="18"/>
      <c r="I494" s="18"/>
      <c r="J494" s="18"/>
      <c r="K494" s="24" t="s">
        <v>286</v>
      </c>
      <c r="L494" s="24" t="s">
        <v>286</v>
      </c>
      <c r="N494" s="270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1594246.7599999998</v>
      </c>
      <c r="G495" s="18"/>
      <c r="H495" s="18"/>
      <c r="I495" s="18"/>
      <c r="J495" s="18"/>
      <c r="K495" s="53">
        <f>SUM(F495:J495)</f>
        <v>1594246.7599999998</v>
      </c>
      <c r="L495" s="24" t="s">
        <v>286</v>
      </c>
      <c r="N495" s="270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0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177138.54</v>
      </c>
      <c r="G497" s="18"/>
      <c r="H497" s="18"/>
      <c r="I497" s="18"/>
      <c r="J497" s="18"/>
      <c r="K497" s="53">
        <f t="shared" si="35"/>
        <v>177138.54</v>
      </c>
      <c r="L497" s="24" t="s">
        <v>286</v>
      </c>
      <c r="N497" s="270"/>
    </row>
    <row r="498" spans="1:14" s="52" customFormat="1" ht="12.2" customHeight="1" x14ac:dyDescent="0.2">
      <c r="A498" s="199" t="s">
        <v>620</v>
      </c>
      <c r="B498" s="200">
        <v>20</v>
      </c>
      <c r="C498" s="201">
        <v>9</v>
      </c>
      <c r="D498" s="202" t="s">
        <v>430</v>
      </c>
      <c r="E498" s="201"/>
      <c r="F498" s="203">
        <v>1417108.2199999997</v>
      </c>
      <c r="G498" s="203"/>
      <c r="H498" s="203"/>
      <c r="I498" s="203"/>
      <c r="J498" s="203"/>
      <c r="K498" s="204">
        <f t="shared" si="35"/>
        <v>1417108.2199999997</v>
      </c>
      <c r="L498" s="205" t="s">
        <v>286</v>
      </c>
      <c r="N498" s="270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333658.11</v>
      </c>
      <c r="G499" s="18"/>
      <c r="H499" s="18"/>
      <c r="I499" s="18"/>
      <c r="J499" s="18"/>
      <c r="K499" s="53">
        <f t="shared" si="35"/>
        <v>333658.11</v>
      </c>
      <c r="L499" s="24" t="s">
        <v>286</v>
      </c>
      <c r="N499" s="270"/>
    </row>
    <row r="500" spans="1:14" s="52" customFormat="1" ht="12.2" customHeight="1" thickTop="1" x14ac:dyDescent="0.2">
      <c r="A500" s="139" t="s">
        <v>622</v>
      </c>
      <c r="B500" s="44">
        <v>20</v>
      </c>
      <c r="C500" s="194">
        <v>11</v>
      </c>
      <c r="D500" s="39" t="s">
        <v>430</v>
      </c>
      <c r="E500" s="194"/>
      <c r="F500" s="42">
        <f>SUM(F498:F499)</f>
        <v>1750766.3299999996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1750766.3299999996</v>
      </c>
      <c r="L500" s="45" t="s">
        <v>286</v>
      </c>
      <c r="N500" s="270"/>
    </row>
    <row r="501" spans="1:14" s="52" customFormat="1" ht="12.2" customHeight="1" x14ac:dyDescent="0.2">
      <c r="A501" s="199" t="s">
        <v>649</v>
      </c>
      <c r="B501" s="200">
        <v>20</v>
      </c>
      <c r="C501" s="201">
        <v>12</v>
      </c>
      <c r="D501" s="202" t="s">
        <v>430</v>
      </c>
      <c r="E501" s="201"/>
      <c r="F501" s="203">
        <v>177138.54</v>
      </c>
      <c r="G501" s="203"/>
      <c r="H501" s="203"/>
      <c r="I501" s="203"/>
      <c r="J501" s="203"/>
      <c r="K501" s="204">
        <f t="shared" si="35"/>
        <v>177138.54</v>
      </c>
      <c r="L501" s="205" t="s">
        <v>286</v>
      </c>
      <c r="N501" s="270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76054.429999999993</v>
      </c>
      <c r="G502" s="18"/>
      <c r="H502" s="18"/>
      <c r="I502" s="18"/>
      <c r="J502" s="18"/>
      <c r="K502" s="53">
        <f t="shared" si="35"/>
        <v>76054.429999999993</v>
      </c>
      <c r="L502" s="24" t="s">
        <v>286</v>
      </c>
      <c r="N502" s="270"/>
    </row>
    <row r="503" spans="1:14" s="52" customFormat="1" ht="12.2" customHeight="1" thickTop="1" x14ac:dyDescent="0.2">
      <c r="A503" s="139" t="s">
        <v>624</v>
      </c>
      <c r="B503" s="44">
        <v>20</v>
      </c>
      <c r="C503" s="194">
        <v>14</v>
      </c>
      <c r="D503" s="39" t="s">
        <v>430</v>
      </c>
      <c r="E503" s="194"/>
      <c r="F503" s="42">
        <f>SUM(F501:F502)</f>
        <v>253192.97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253192.97</v>
      </c>
      <c r="L503" s="45" t="s">
        <v>286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6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0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0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0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0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0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0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0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6" t="s">
        <v>687</v>
      </c>
      <c r="G518" s="176" t="s">
        <v>688</v>
      </c>
      <c r="H518" s="176" t="s">
        <v>689</v>
      </c>
      <c r="I518" s="176" t="s">
        <v>690</v>
      </c>
      <c r="J518" s="176" t="s">
        <v>691</v>
      </c>
      <c r="K518" s="176" t="s">
        <v>692</v>
      </c>
      <c r="L518" s="106"/>
      <c r="N518" s="270"/>
    </row>
    <row r="519" spans="1:14" s="52" customFormat="1" ht="12.2" customHeight="1" x14ac:dyDescent="0.2">
      <c r="A519" s="177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0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950522.96941656643</v>
      </c>
      <c r="G521" s="18">
        <v>507703.95886309026</v>
      </c>
      <c r="H521" s="18">
        <v>20971.754376309014</v>
      </c>
      <c r="I521" s="18">
        <v>9671.26</v>
      </c>
      <c r="J521" s="18">
        <v>2512</v>
      </c>
      <c r="K521" s="18">
        <v>1368.88</v>
      </c>
      <c r="L521" s="88">
        <f>SUM(F521:K521)</f>
        <v>1492750.8226559656</v>
      </c>
      <c r="N521" s="270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568149.29648257513</v>
      </c>
      <c r="G522" s="18">
        <v>313762.64217768243</v>
      </c>
      <c r="H522" s="18">
        <v>124897.34547776823</v>
      </c>
      <c r="I522" s="18">
        <v>456.56</v>
      </c>
      <c r="J522" s="18">
        <v>1327.48</v>
      </c>
      <c r="K522" s="18">
        <v>1159.45</v>
      </c>
      <c r="L522" s="88">
        <f>SUM(F522:K522)</f>
        <v>1009752.7741380257</v>
      </c>
      <c r="N522" s="270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602538.42410085839</v>
      </c>
      <c r="G523" s="18">
        <v>316990.7889592275</v>
      </c>
      <c r="H523" s="18">
        <v>142122.93014592273</v>
      </c>
      <c r="I523" s="18">
        <v>3065.51</v>
      </c>
      <c r="J523" s="18">
        <v>2153.02</v>
      </c>
      <c r="K523" s="18">
        <v>1056</v>
      </c>
      <c r="L523" s="88">
        <f>SUM(F523:K523)</f>
        <v>1067926.6732060087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430</v>
      </c>
      <c r="E524" s="194"/>
      <c r="F524" s="108">
        <f>SUM(F521:F523)</f>
        <v>2121210.69</v>
      </c>
      <c r="G524" s="108">
        <f t="shared" ref="G524:L524" si="36">SUM(G521:G523)</f>
        <v>1138457.3900000001</v>
      </c>
      <c r="H524" s="108">
        <f t="shared" si="36"/>
        <v>287992.02999999997</v>
      </c>
      <c r="I524" s="108">
        <f t="shared" si="36"/>
        <v>13193.33</v>
      </c>
      <c r="J524" s="108">
        <f t="shared" si="36"/>
        <v>5992.5</v>
      </c>
      <c r="K524" s="108">
        <f t="shared" si="36"/>
        <v>3584.33</v>
      </c>
      <c r="L524" s="89">
        <f t="shared" si="36"/>
        <v>3570430.2700000005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0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232305.37464017171</v>
      </c>
      <c r="G526" s="18">
        <v>65062.024743776812</v>
      </c>
      <c r="H526" s="18">
        <v>338456.52505630907</v>
      </c>
      <c r="I526" s="18">
        <v>4717.1945463519305</v>
      </c>
      <c r="J526" s="18">
        <v>1627.8099141630903</v>
      </c>
      <c r="K526" s="18">
        <v>829</v>
      </c>
      <c r="L526" s="88">
        <f>SUM(F526:K526)</f>
        <v>642997.92890077259</v>
      </c>
      <c r="M526" s="8"/>
      <c r="N526" s="271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120794.06538987125</v>
      </c>
      <c r="G527" s="18">
        <v>38116.425417167382</v>
      </c>
      <c r="H527" s="18">
        <v>70457.085797768246</v>
      </c>
      <c r="I527" s="18">
        <v>947.47106523605157</v>
      </c>
      <c r="J527" s="18">
        <v>315.27506437768244</v>
      </c>
      <c r="K527" s="18">
        <v>170</v>
      </c>
      <c r="L527" s="88">
        <f>SUM(F527:K527)</f>
        <v>230800.32273442062</v>
      </c>
      <c r="M527" s="8"/>
      <c r="N527" s="271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137849.63996995709</v>
      </c>
      <c r="G528" s="18">
        <v>25354.519839055793</v>
      </c>
      <c r="H528" s="18">
        <v>110125.41914592276</v>
      </c>
      <c r="I528" s="18">
        <v>1110.2343884120171</v>
      </c>
      <c r="J528" s="18">
        <v>301.00502145922746</v>
      </c>
      <c r="K528" s="18">
        <v>250</v>
      </c>
      <c r="L528" s="88">
        <f>SUM(F528:K528)</f>
        <v>274990.81836480694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7" t="s">
        <v>430</v>
      </c>
      <c r="E529" s="107"/>
      <c r="F529" s="89">
        <f>SUM(F526:F528)</f>
        <v>490949.08000000007</v>
      </c>
      <c r="G529" s="89">
        <f t="shared" ref="G529:L529" si="37">SUM(G526:G528)</f>
        <v>128532.96999999999</v>
      </c>
      <c r="H529" s="89">
        <f t="shared" si="37"/>
        <v>519039.03000000009</v>
      </c>
      <c r="I529" s="89">
        <f t="shared" si="37"/>
        <v>6774.9</v>
      </c>
      <c r="J529" s="89">
        <f t="shared" si="37"/>
        <v>2244.09</v>
      </c>
      <c r="K529" s="89">
        <f t="shared" si="37"/>
        <v>1249</v>
      </c>
      <c r="L529" s="89">
        <f t="shared" si="37"/>
        <v>1148789.0700000003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1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61609.194557253213</v>
      </c>
      <c r="G531" s="18">
        <v>34615.700266437765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96224.894823690978</v>
      </c>
      <c r="M531" s="8"/>
      <c r="N531" s="271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33128.844962060088</v>
      </c>
      <c r="G532" s="18">
        <v>18613.750360171674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51742.595322231762</v>
      </c>
      <c r="M532" s="8"/>
      <c r="N532" s="271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41227.240480686698</v>
      </c>
      <c r="G533" s="18">
        <v>23163.909373390557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64391.149854077259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7" t="s">
        <v>430</v>
      </c>
      <c r="E534" s="107"/>
      <c r="F534" s="89">
        <f>SUM(F531:F533)</f>
        <v>135965.28</v>
      </c>
      <c r="G534" s="89">
        <f t="shared" ref="G534:L534" si="38">SUM(G531:G533)</f>
        <v>76393.36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212358.64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286</v>
      </c>
      <c r="G535" s="193" t="s">
        <v>286</v>
      </c>
      <c r="H535" s="193" t="s">
        <v>286</v>
      </c>
      <c r="I535" s="193" t="s">
        <v>286</v>
      </c>
      <c r="J535" s="193" t="s">
        <v>286</v>
      </c>
      <c r="K535" s="193" t="s">
        <v>286</v>
      </c>
      <c r="L535" s="193" t="s">
        <v>286</v>
      </c>
      <c r="M535" s="8"/>
      <c r="N535" s="271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1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1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7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1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124502.96524987124</v>
      </c>
      <c r="I541" s="18">
        <v>11644.623556995708</v>
      </c>
      <c r="J541" s="18">
        <v>0</v>
      </c>
      <c r="K541" s="18">
        <v>0</v>
      </c>
      <c r="L541" s="88">
        <f>SUM(F541:K541)</f>
        <v>136147.58880686696</v>
      </c>
      <c r="M541" s="8"/>
      <c r="N541" s="271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67709.659477596564</v>
      </c>
      <c r="I542" s="18">
        <v>6261.6129172532192</v>
      </c>
      <c r="J542" s="18">
        <v>0</v>
      </c>
      <c r="K542" s="18">
        <v>0</v>
      </c>
      <c r="L542" s="88">
        <f>SUM(F542:K542)</f>
        <v>73971.272394849788</v>
      </c>
      <c r="M542" s="8"/>
      <c r="N542" s="271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0</v>
      </c>
      <c r="G543" s="18">
        <v>0</v>
      </c>
      <c r="H543" s="18">
        <v>145280.27527253219</v>
      </c>
      <c r="I543" s="18">
        <v>7792.2735257510722</v>
      </c>
      <c r="J543" s="18">
        <v>0</v>
      </c>
      <c r="K543" s="18">
        <v>0</v>
      </c>
      <c r="L543" s="88">
        <f>SUM(F543:K543)</f>
        <v>153072.54879828327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430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337492.9</v>
      </c>
      <c r="I544" s="192">
        <f t="shared" si="40"/>
        <v>25698.51</v>
      </c>
      <c r="J544" s="192">
        <f t="shared" si="40"/>
        <v>0</v>
      </c>
      <c r="K544" s="192">
        <f t="shared" si="40"/>
        <v>0</v>
      </c>
      <c r="L544" s="192">
        <f t="shared" si="40"/>
        <v>363191.41000000003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7" t="s">
        <v>430</v>
      </c>
      <c r="E545" s="107"/>
      <c r="F545" s="89">
        <f>F524+F529+F534+F539+F544</f>
        <v>2748125.05</v>
      </c>
      <c r="G545" s="89">
        <f t="shared" ref="G545:L545" si="41">G524+G529+G534+G539+G544</f>
        <v>1343383.7200000002</v>
      </c>
      <c r="H545" s="89">
        <f t="shared" si="41"/>
        <v>1144523.96</v>
      </c>
      <c r="I545" s="89">
        <f t="shared" si="41"/>
        <v>45666.74</v>
      </c>
      <c r="J545" s="89">
        <f t="shared" si="41"/>
        <v>8236.59</v>
      </c>
      <c r="K545" s="89">
        <f t="shared" si="41"/>
        <v>4833.33</v>
      </c>
      <c r="L545" s="89">
        <f t="shared" si="41"/>
        <v>5294769.3900000006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1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1492750.8226559656</v>
      </c>
      <c r="G549" s="87">
        <f>L526</f>
        <v>642997.92890077259</v>
      </c>
      <c r="H549" s="87">
        <f>L531</f>
        <v>96224.894823690978</v>
      </c>
      <c r="I549" s="87">
        <f>L536</f>
        <v>0</v>
      </c>
      <c r="J549" s="87">
        <f>L541</f>
        <v>136147.58880686696</v>
      </c>
      <c r="K549" s="87">
        <f>SUM(F549:J549)</f>
        <v>2368121.2351872963</v>
      </c>
      <c r="L549" s="24" t="s">
        <v>286</v>
      </c>
      <c r="M549" s="8"/>
      <c r="N549" s="271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1009752.7741380257</v>
      </c>
      <c r="G550" s="87">
        <f>L527</f>
        <v>230800.32273442062</v>
      </c>
      <c r="H550" s="87">
        <f>L532</f>
        <v>51742.595322231762</v>
      </c>
      <c r="I550" s="87">
        <f>L537</f>
        <v>0</v>
      </c>
      <c r="J550" s="87">
        <f>L542</f>
        <v>73971.272394849788</v>
      </c>
      <c r="K550" s="87">
        <f>SUM(F550:J550)</f>
        <v>1366266.9645895278</v>
      </c>
      <c r="L550" s="24" t="s">
        <v>286</v>
      </c>
      <c r="M550" s="8"/>
      <c r="N550" s="271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1067926.6732060087</v>
      </c>
      <c r="G551" s="87">
        <f>L528</f>
        <v>274990.81836480694</v>
      </c>
      <c r="H551" s="87">
        <f>L533</f>
        <v>64391.149854077259</v>
      </c>
      <c r="I551" s="87">
        <f>L538</f>
        <v>0</v>
      </c>
      <c r="J551" s="87">
        <f>L543</f>
        <v>153072.54879828327</v>
      </c>
      <c r="K551" s="87">
        <f>SUM(F551:J551)</f>
        <v>1560381.1902231763</v>
      </c>
      <c r="L551" s="24" t="s">
        <v>286</v>
      </c>
      <c r="M551" s="8"/>
      <c r="N551" s="271"/>
    </row>
    <row r="552" spans="1:14" s="3" customFormat="1" ht="12.2" customHeight="1" thickTop="1" x14ac:dyDescent="0.15">
      <c r="A552" s="171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3570430.2700000005</v>
      </c>
      <c r="G552" s="89">
        <f t="shared" si="42"/>
        <v>1148789.0700000003</v>
      </c>
      <c r="H552" s="89">
        <f t="shared" si="42"/>
        <v>212358.64</v>
      </c>
      <c r="I552" s="89">
        <f t="shared" si="42"/>
        <v>0</v>
      </c>
      <c r="J552" s="89">
        <f t="shared" si="42"/>
        <v>363191.41000000003</v>
      </c>
      <c r="K552" s="89">
        <f t="shared" si="42"/>
        <v>5294769.3900000006</v>
      </c>
      <c r="L552" s="24"/>
      <c r="M552" s="8"/>
      <c r="N552" s="271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687</v>
      </c>
      <c r="G554" s="176" t="s">
        <v>688</v>
      </c>
      <c r="H554" s="176" t="s">
        <v>689</v>
      </c>
      <c r="I554" s="176" t="s">
        <v>690</v>
      </c>
      <c r="J554" s="176" t="s">
        <v>691</v>
      </c>
      <c r="K554" s="176" t="s">
        <v>692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1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430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1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1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1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1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430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7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1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1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1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1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6122.24</v>
      </c>
      <c r="I578" s="87">
        <f t="shared" si="47"/>
        <v>6122.24</v>
      </c>
      <c r="J578" s="24" t="s">
        <v>286</v>
      </c>
      <c r="K578" s="24" t="s">
        <v>286</v>
      </c>
      <c r="L578" s="24" t="s">
        <v>286</v>
      </c>
      <c r="M578" s="8"/>
      <c r="N578" s="271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11132</v>
      </c>
      <c r="G579" s="18">
        <v>117947.14</v>
      </c>
      <c r="H579" s="18">
        <v>124489.81</v>
      </c>
      <c r="I579" s="87">
        <f t="shared" si="47"/>
        <v>253568.95</v>
      </c>
      <c r="J579" s="24" t="s">
        <v>286</v>
      </c>
      <c r="K579" s="24" t="s">
        <v>286</v>
      </c>
      <c r="L579" s="24" t="s">
        <v>286</v>
      </c>
      <c r="M579" s="8"/>
      <c r="N579" s="271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1"/>
    </row>
    <row r="581" spans="1:14" s="3" customFormat="1" ht="12.2" customHeight="1" x14ac:dyDescent="0.15">
      <c r="A581" s="145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18789.400000000001</v>
      </c>
      <c r="I581" s="87">
        <f t="shared" si="47"/>
        <v>18789.400000000001</v>
      </c>
      <c r="J581" s="24" t="s">
        <v>286</v>
      </c>
      <c r="K581" s="24" t="s">
        <v>286</v>
      </c>
      <c r="L581" s="24" t="s">
        <v>286</v>
      </c>
      <c r="M581" s="8"/>
      <c r="N581" s="271"/>
    </row>
    <row r="582" spans="1:14" s="3" customFormat="1" ht="12.2" customHeight="1" x14ac:dyDescent="0.15">
      <c r="A582" s="145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1"/>
    </row>
    <row r="583" spans="1:14" s="3" customFormat="1" ht="12.2" customHeight="1" x14ac:dyDescent="0.15">
      <c r="A583" s="145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1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24905.66</v>
      </c>
      <c r="I584" s="87">
        <f t="shared" si="47"/>
        <v>24905.66</v>
      </c>
      <c r="J584" s="24" t="s">
        <v>286</v>
      </c>
      <c r="K584" s="24" t="s">
        <v>286</v>
      </c>
      <c r="L584" s="24" t="s">
        <v>286</v>
      </c>
      <c r="M584" s="8"/>
      <c r="N584" s="271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1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1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1"/>
    </row>
    <row r="588" spans="1:14" s="3" customFormat="1" ht="12.2" customHeight="1" x14ac:dyDescent="0.15">
      <c r="A588" s="172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6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349077.72181888408</v>
      </c>
      <c r="I591" s="18">
        <v>183824.83648583692</v>
      </c>
      <c r="J591" s="18">
        <v>229038.41169527898</v>
      </c>
      <c r="K591" s="104">
        <f t="shared" ref="K591:K597" si="48">SUM(H591:J591)</f>
        <v>761940.97</v>
      </c>
      <c r="L591" s="24" t="s">
        <v>286</v>
      </c>
      <c r="M591" s="8"/>
      <c r="N591" s="271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136147.58880686696</v>
      </c>
      <c r="I592" s="18">
        <v>73971.272394849788</v>
      </c>
      <c r="J592" s="18">
        <v>153072.54879828327</v>
      </c>
      <c r="K592" s="104">
        <f t="shared" si="48"/>
        <v>363191.41000000003</v>
      </c>
      <c r="L592" s="24" t="s">
        <v>286</v>
      </c>
      <c r="M592" s="8"/>
      <c r="N592" s="271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40488</v>
      </c>
      <c r="K593" s="104">
        <f t="shared" si="48"/>
        <v>40488</v>
      </c>
      <c r="L593" s="24" t="s">
        <v>286</v>
      </c>
      <c r="M593" s="8"/>
      <c r="N593" s="271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2959.13</v>
      </c>
      <c r="I594" s="18">
        <v>11719.52</v>
      </c>
      <c r="J594" s="18">
        <v>34389.279999999999</v>
      </c>
      <c r="K594" s="104">
        <f t="shared" si="48"/>
        <v>49067.93</v>
      </c>
      <c r="L594" s="24" t="s">
        <v>286</v>
      </c>
      <c r="M594" s="8"/>
      <c r="N594" s="271"/>
    </row>
    <row r="595" spans="1:14" s="3" customFormat="1" ht="12.2" customHeight="1" x14ac:dyDescent="0.15">
      <c r="A595" s="170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14757.240000000002</v>
      </c>
      <c r="I595" s="18">
        <v>6021.26</v>
      </c>
      <c r="J595" s="18">
        <v>5935.56</v>
      </c>
      <c r="K595" s="104">
        <f t="shared" si="48"/>
        <v>26714.06</v>
      </c>
      <c r="L595" s="24" t="s">
        <v>286</v>
      </c>
      <c r="M595" s="8"/>
      <c r="N595" s="271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1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1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7">
        <v>2700</v>
      </c>
      <c r="G598" s="148" t="s">
        <v>97</v>
      </c>
      <c r="H598" s="108">
        <f>SUM(H591:H597)</f>
        <v>502941.68062575103</v>
      </c>
      <c r="I598" s="108">
        <f>SUM(I591:I597)</f>
        <v>275536.88888068672</v>
      </c>
      <c r="J598" s="108">
        <f>SUM(J591:J597)</f>
        <v>462923.8004935623</v>
      </c>
      <c r="K598" s="108">
        <f>SUM(K591:K597)</f>
        <v>1241402.3699999999</v>
      </c>
      <c r="L598" s="24" t="s">
        <v>286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1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1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146156.53433639486</v>
      </c>
      <c r="I604" s="18">
        <v>82952.328532703861</v>
      </c>
      <c r="J604" s="18">
        <v>102386.44713090129</v>
      </c>
      <c r="K604" s="104">
        <f>SUM(H604:J604)</f>
        <v>331495.31</v>
      </c>
      <c r="L604" s="24" t="s">
        <v>286</v>
      </c>
      <c r="M604" s="8"/>
      <c r="N604" s="271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8" t="s">
        <v>474</v>
      </c>
      <c r="G605" s="147">
        <v>700</v>
      </c>
      <c r="H605" s="108">
        <f>SUM(H602:H604)</f>
        <v>146156.53433639486</v>
      </c>
      <c r="I605" s="108">
        <f>SUM(I602:I604)</f>
        <v>82952.328532703861</v>
      </c>
      <c r="J605" s="108">
        <f>SUM(J602:J604)</f>
        <v>102386.44713090129</v>
      </c>
      <c r="K605" s="108">
        <f>SUM(K602:K604)</f>
        <v>331495.31</v>
      </c>
      <c r="L605" s="24" t="s">
        <v>286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687</v>
      </c>
      <c r="G609" s="176" t="s">
        <v>688</v>
      </c>
      <c r="H609" s="176" t="s">
        <v>689</v>
      </c>
      <c r="I609" s="176" t="s">
        <v>690</v>
      </c>
      <c r="J609" s="176" t="s">
        <v>691</v>
      </c>
      <c r="K609" s="176" t="s">
        <v>692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14850.5</v>
      </c>
      <c r="G611" s="18">
        <v>2469.89</v>
      </c>
      <c r="H611" s="18">
        <v>3796.0184744206008</v>
      </c>
      <c r="I611" s="18">
        <v>0</v>
      </c>
      <c r="J611" s="18">
        <v>0</v>
      </c>
      <c r="K611" s="18">
        <v>0</v>
      </c>
      <c r="L611" s="88">
        <f>SUM(F611:K611)</f>
        <v>21116.408474420601</v>
      </c>
      <c r="M611" s="8"/>
      <c r="N611" s="271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4966.5</v>
      </c>
      <c r="G612" s="18">
        <v>1105.8699999999999</v>
      </c>
      <c r="H612" s="18">
        <v>2041.2165491845496</v>
      </c>
      <c r="I612" s="18">
        <v>0</v>
      </c>
      <c r="J612" s="18">
        <v>0</v>
      </c>
      <c r="K612" s="18">
        <v>0</v>
      </c>
      <c r="L612" s="88">
        <f>SUM(F612:K612)</f>
        <v>8113.5865491845498</v>
      </c>
      <c r="M612" s="8"/>
      <c r="N612" s="271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12231.75</v>
      </c>
      <c r="G613" s="18">
        <v>2463.21</v>
      </c>
      <c r="H613" s="18">
        <v>3144.3549763948499</v>
      </c>
      <c r="I613" s="18">
        <v>1349.22</v>
      </c>
      <c r="J613" s="18">
        <v>0</v>
      </c>
      <c r="K613" s="18">
        <v>1479</v>
      </c>
      <c r="L613" s="88">
        <f>SUM(F613:K613)</f>
        <v>20667.534976394851</v>
      </c>
      <c r="M613" s="8"/>
      <c r="N613" s="271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32048.75</v>
      </c>
      <c r="G614" s="108">
        <f t="shared" si="49"/>
        <v>6038.9699999999993</v>
      </c>
      <c r="H614" s="108">
        <f t="shared" si="49"/>
        <v>8981.59</v>
      </c>
      <c r="I614" s="108">
        <f t="shared" si="49"/>
        <v>1349.22</v>
      </c>
      <c r="J614" s="108">
        <f t="shared" si="49"/>
        <v>0</v>
      </c>
      <c r="K614" s="108">
        <f t="shared" si="49"/>
        <v>1479</v>
      </c>
      <c r="L614" s="89">
        <f t="shared" si="49"/>
        <v>49897.53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49" t="s">
        <v>53</v>
      </c>
      <c r="G616" s="150"/>
      <c r="H616" s="150"/>
      <c r="I616" s="149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2855566.85</v>
      </c>
      <c r="H617" s="109">
        <f>SUM(F52)</f>
        <v>2855566.85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107667.16000000002</v>
      </c>
      <c r="H618" s="109">
        <f>SUM(G52)</f>
        <v>107667.16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250621.15000000002</v>
      </c>
      <c r="H619" s="109">
        <f>SUM(H52)</f>
        <v>250621.15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573798.14</v>
      </c>
      <c r="H621" s="109">
        <f>SUM(J52)</f>
        <v>573798.14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1615124.4300000002</v>
      </c>
      <c r="H622" s="109">
        <f>F476</f>
        <v>1615124.429999996</v>
      </c>
      <c r="I622" s="121" t="s">
        <v>101</v>
      </c>
      <c r="J622" s="109">
        <f t="shared" ref="J622:J655" si="50">G622-H622</f>
        <v>4.1909515857696533E-9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38603.79</v>
      </c>
      <c r="H623" s="109">
        <f>G476</f>
        <v>38603.790000000037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573798.14</v>
      </c>
      <c r="H626" s="109">
        <f>J476</f>
        <v>573798.14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21964213.309999999</v>
      </c>
      <c r="H627" s="104">
        <f>SUM(F468)</f>
        <v>21964213.309999999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558070.66999999993</v>
      </c>
      <c r="H628" s="104">
        <f>SUM(G468)</f>
        <v>558070.67000000004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1197566.5699999998</v>
      </c>
      <c r="H629" s="104">
        <f>SUM(H468)</f>
        <v>1197566.57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102039.49</v>
      </c>
      <c r="H631" s="104">
        <f>SUM(J468)</f>
        <v>102039.49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21108927.73</v>
      </c>
      <c r="H632" s="104">
        <f>SUM(F472)</f>
        <v>21108927.730000004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1243198.9700000002</v>
      </c>
      <c r="H633" s="104">
        <f>SUM(H472)</f>
        <v>1243198.97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286.93</v>
      </c>
      <c r="H634" s="104">
        <f>I369</f>
        <v>286.93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535030.75999999989</v>
      </c>
      <c r="H635" s="104">
        <f>SUM(G472)</f>
        <v>535030.76</v>
      </c>
      <c r="I635" s="140" t="s">
        <v>114</v>
      </c>
      <c r="J635" s="109">
        <f t="shared" si="50"/>
        <v>0</v>
      </c>
      <c r="K635" s="85"/>
      <c r="L635" s="88"/>
      <c r="M635" s="167"/>
    </row>
    <row r="636" spans="1:13" s="168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475</v>
      </c>
      <c r="G637" s="150">
        <f>SUM(L408)</f>
        <v>102039.49</v>
      </c>
      <c r="H637" s="163">
        <f>SUM(J468)</f>
        <v>102039.49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476</v>
      </c>
      <c r="G638" s="150">
        <f>SUM(L434)</f>
        <v>165</v>
      </c>
      <c r="H638" s="163">
        <f>SUM(J472)</f>
        <v>165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573798.14</v>
      </c>
      <c r="H640" s="104">
        <f>SUM(G461)</f>
        <v>573798.14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573798.14</v>
      </c>
      <c r="H642" s="104">
        <f>SUM(I461)</f>
        <v>573798.14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2039.49</v>
      </c>
      <c r="H644" s="104">
        <f>H408</f>
        <v>2039.49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102039.49</v>
      </c>
      <c r="H646" s="104">
        <f>L408</f>
        <v>102039.49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1241402.3699999999</v>
      </c>
      <c r="H647" s="104">
        <f>L208+L226+L244</f>
        <v>1241402.3700000001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331495.31</v>
      </c>
      <c r="H648" s="104">
        <f>(J257+J338)-(J255+J336)</f>
        <v>331495.31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502941.68062575103</v>
      </c>
      <c r="H649" s="104">
        <f>H598</f>
        <v>502941.68062575103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275536.88888068672</v>
      </c>
      <c r="H650" s="104">
        <f>I598</f>
        <v>275536.88888068672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462923.80049356224</v>
      </c>
      <c r="H651" s="104">
        <f>J598</f>
        <v>462923.8004935623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40000</v>
      </c>
      <c r="H652" s="104">
        <f>K263+K345</f>
        <v>40000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9599313.6944628339</v>
      </c>
      <c r="G660" s="19">
        <f>(L229+L309+L359)</f>
        <v>5256388.9085328756</v>
      </c>
      <c r="H660" s="19">
        <f>(L247+L328+L360)</f>
        <v>7009191.1570042921</v>
      </c>
      <c r="I660" s="19">
        <f>SUM(F660:H660)</f>
        <v>21864893.760000002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110622.66720358953</v>
      </c>
      <c r="G661" s="19">
        <f>(L359/IF(SUM(L358:L360)=0,1,SUM(L358:L360))*(SUM(G97:G110)))</f>
        <v>59502.301859092055</v>
      </c>
      <c r="H661" s="19">
        <f>(L360/IF(SUM(L358:L360)=0,1,SUM(L358:L360))*(SUM(G97:G110)))</f>
        <v>73991.130937318449</v>
      </c>
      <c r="I661" s="19">
        <f>SUM(F661:H661)</f>
        <v>244116.10000000003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541430.37062575098</v>
      </c>
      <c r="G662" s="19">
        <f>(L226+L306)-(J226+J306)</f>
        <v>284063.45888068673</v>
      </c>
      <c r="H662" s="19">
        <f>(L244+L325)-(J244+J325)</f>
        <v>473646.46049356222</v>
      </c>
      <c r="I662" s="19">
        <f>SUM(F662:H662)</f>
        <v>1299140.29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178404.94281081547</v>
      </c>
      <c r="G663" s="198">
        <f>SUM(G575:G587)+SUM(I602:I604)+L612</f>
        <v>209013.05508188842</v>
      </c>
      <c r="H663" s="198">
        <f>SUM(H575:H587)+SUM(J602:J604)+L613</f>
        <v>297361.09210729616</v>
      </c>
      <c r="I663" s="19">
        <f>SUM(F663:H663)</f>
        <v>684779.09000000008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8768855.7138226777</v>
      </c>
      <c r="G664" s="19">
        <f>G660-SUM(G661:G663)</f>
        <v>4703810.0927112084</v>
      </c>
      <c r="H664" s="19">
        <f>H660-SUM(H661:H663)</f>
        <v>6164192.4734661151</v>
      </c>
      <c r="I664" s="19">
        <f>I660-SUM(I661:I663)</f>
        <v>19636858.280000001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v>496.29</v>
      </c>
      <c r="G665" s="247">
        <v>311.27</v>
      </c>
      <c r="H665" s="247">
        <v>372.33</v>
      </c>
      <c r="I665" s="19">
        <f>SUM(F665:H665)</f>
        <v>1179.8899999999999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17668.810000000001</v>
      </c>
      <c r="G667" s="19">
        <f>ROUND(G664/G665,2)</f>
        <v>15111.67</v>
      </c>
      <c r="H667" s="19">
        <f>ROUND(H664/H665,2)</f>
        <v>16555.72</v>
      </c>
      <c r="I667" s="19">
        <f>ROUND(I664/I665,2)</f>
        <v>16642.96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-5.56</v>
      </c>
      <c r="I670" s="19">
        <f>SUM(F670:H670)</f>
        <v>-5.56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17668.810000000001</v>
      </c>
      <c r="G672" s="19">
        <f>ROUND((G664+G669)/(G665+G670),2)</f>
        <v>15111.67</v>
      </c>
      <c r="H672" s="19">
        <f>ROUND((H664+H669)/(H665+H670),2)</f>
        <v>16806.7</v>
      </c>
      <c r="I672" s="19">
        <f>ROUND((I664+I669)/(I665+I670),2)</f>
        <v>16721.75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H25" sqref="H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779</v>
      </c>
      <c r="B1" s="231" t="str">
        <f>'DOE25'!A2</f>
        <v>Newfound Area</v>
      </c>
      <c r="C1" s="237" t="s">
        <v>833</v>
      </c>
    </row>
    <row r="2" spans="1:3" x14ac:dyDescent="0.2">
      <c r="A2" s="232"/>
      <c r="B2" s="231"/>
    </row>
    <row r="3" spans="1:3" x14ac:dyDescent="0.2">
      <c r="A3" s="277" t="s">
        <v>778</v>
      </c>
      <c r="B3" s="277"/>
      <c r="C3" s="277"/>
    </row>
    <row r="4" spans="1:3" x14ac:dyDescent="0.2">
      <c r="A4" s="235"/>
      <c r="B4" s="236" t="str">
        <f>'DOE25'!H1</f>
        <v>DOE 25  2017-2018</v>
      </c>
      <c r="C4" s="235"/>
    </row>
    <row r="5" spans="1:3" x14ac:dyDescent="0.2">
      <c r="A5" s="232"/>
      <c r="B5" s="231"/>
    </row>
    <row r="6" spans="1:3" x14ac:dyDescent="0.2">
      <c r="A6" s="226"/>
      <c r="B6" s="276" t="s">
        <v>777</v>
      </c>
      <c r="C6" s="276"/>
    </row>
    <row r="7" spans="1:3" x14ac:dyDescent="0.2">
      <c r="A7" s="238" t="s">
        <v>780</v>
      </c>
      <c r="B7" s="274" t="s">
        <v>776</v>
      </c>
      <c r="C7" s="275"/>
    </row>
    <row r="8" spans="1:3" x14ac:dyDescent="0.2">
      <c r="B8" s="227" t="s">
        <v>54</v>
      </c>
      <c r="C8" s="227" t="s">
        <v>770</v>
      </c>
    </row>
    <row r="9" spans="1:3" x14ac:dyDescent="0.2">
      <c r="A9" s="33" t="s">
        <v>771</v>
      </c>
      <c r="B9" s="228">
        <f>'DOE25'!F197+'DOE25'!F215+'DOE25'!F233+'DOE25'!F276+'DOE25'!F295+'DOE25'!F314</f>
        <v>5222509.41</v>
      </c>
      <c r="C9" s="228">
        <f>'DOE25'!G197+'DOE25'!G215+'DOE25'!G233+'DOE25'!G276+'DOE25'!G295+'DOE25'!G314</f>
        <v>2589383.5100000002</v>
      </c>
    </row>
    <row r="10" spans="1:3" x14ac:dyDescent="0.2">
      <c r="A10" t="s">
        <v>773</v>
      </c>
      <c r="B10" s="239">
        <v>4881368.72</v>
      </c>
      <c r="C10" s="239">
        <v>2415667.41</v>
      </c>
    </row>
    <row r="11" spans="1:3" x14ac:dyDescent="0.2">
      <c r="A11" t="s">
        <v>774</v>
      </c>
      <c r="B11" s="239">
        <v>264373.26</v>
      </c>
      <c r="C11" s="239">
        <v>78596.23</v>
      </c>
    </row>
    <row r="12" spans="1:3" x14ac:dyDescent="0.2">
      <c r="A12" t="s">
        <v>775</v>
      </c>
      <c r="B12" s="239">
        <v>76767.430000000633</v>
      </c>
      <c r="C12" s="239">
        <v>95119.870000000112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5222509.41</v>
      </c>
      <c r="C13" s="230">
        <f>SUM(C10:C12)</f>
        <v>2589383.5100000002</v>
      </c>
    </row>
    <row r="14" spans="1:3" x14ac:dyDescent="0.2">
      <c r="B14" s="229"/>
      <c r="C14" s="229"/>
    </row>
    <row r="15" spans="1:3" x14ac:dyDescent="0.2">
      <c r="B15" s="276" t="s">
        <v>777</v>
      </c>
      <c r="C15" s="276"/>
    </row>
    <row r="16" spans="1:3" x14ac:dyDescent="0.2">
      <c r="A16" s="238" t="s">
        <v>781</v>
      </c>
      <c r="B16" s="274" t="s">
        <v>701</v>
      </c>
      <c r="C16" s="275"/>
    </row>
    <row r="17" spans="1:3" x14ac:dyDescent="0.2">
      <c r="B17" s="227" t="s">
        <v>54</v>
      </c>
      <c r="C17" s="227" t="s">
        <v>770</v>
      </c>
    </row>
    <row r="18" spans="1:3" x14ac:dyDescent="0.2">
      <c r="A18" s="33" t="s">
        <v>771</v>
      </c>
      <c r="B18" s="228">
        <f>'DOE25'!F198+'DOE25'!F216+'DOE25'!F234+'DOE25'!F277+'DOE25'!F296+'DOE25'!F315</f>
        <v>2121210.69</v>
      </c>
      <c r="C18" s="228">
        <f>'DOE25'!G198+'DOE25'!G216+'DOE25'!G234+'DOE25'!G277+'DOE25'!G296+'DOE25'!G315</f>
        <v>1138457.3900000004</v>
      </c>
    </row>
    <row r="19" spans="1:3" x14ac:dyDescent="0.2">
      <c r="A19" t="s">
        <v>773</v>
      </c>
      <c r="B19" s="239">
        <v>768852.24</v>
      </c>
      <c r="C19" s="239">
        <v>404468.18</v>
      </c>
    </row>
    <row r="20" spans="1:3" x14ac:dyDescent="0.2">
      <c r="A20" t="s">
        <v>774</v>
      </c>
      <c r="B20" s="239">
        <v>1273016.4099999999</v>
      </c>
      <c r="C20" s="239">
        <v>647902.02</v>
      </c>
    </row>
    <row r="21" spans="1:3" x14ac:dyDescent="0.2">
      <c r="A21" t="s">
        <v>775</v>
      </c>
      <c r="B21" s="239">
        <v>79342.040000000037</v>
      </c>
      <c r="C21" s="239">
        <v>86087.19000000041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2121210.69</v>
      </c>
      <c r="C22" s="230">
        <f>SUM(C19:C21)</f>
        <v>1138457.3900000004</v>
      </c>
    </row>
    <row r="23" spans="1:3" x14ac:dyDescent="0.2">
      <c r="B23" s="229"/>
      <c r="C23" s="229"/>
    </row>
    <row r="24" spans="1:3" x14ac:dyDescent="0.2">
      <c r="B24" s="276" t="s">
        <v>777</v>
      </c>
      <c r="C24" s="276"/>
    </row>
    <row r="25" spans="1:3" x14ac:dyDescent="0.2">
      <c r="A25" s="238" t="s">
        <v>782</v>
      </c>
      <c r="B25" s="274" t="s">
        <v>702</v>
      </c>
      <c r="C25" s="275"/>
    </row>
    <row r="26" spans="1:3" x14ac:dyDescent="0.2">
      <c r="B26" s="227" t="s">
        <v>54</v>
      </c>
      <c r="C26" s="227" t="s">
        <v>770</v>
      </c>
    </row>
    <row r="27" spans="1:3" x14ac:dyDescent="0.2">
      <c r="A27" s="33" t="s">
        <v>771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773</v>
      </c>
      <c r="B28" s="239">
        <v>0</v>
      </c>
      <c r="C28" s="239">
        <v>0</v>
      </c>
    </row>
    <row r="29" spans="1:3" x14ac:dyDescent="0.2">
      <c r="A29" t="s">
        <v>774</v>
      </c>
      <c r="B29" s="239">
        <v>0</v>
      </c>
      <c r="C29" s="239">
        <v>0</v>
      </c>
    </row>
    <row r="30" spans="1:3" x14ac:dyDescent="0.2">
      <c r="A30" t="s">
        <v>775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6" t="s">
        <v>777</v>
      </c>
      <c r="C33" s="276"/>
    </row>
    <row r="34" spans="1:3" x14ac:dyDescent="0.2">
      <c r="A34" s="238" t="s">
        <v>783</v>
      </c>
      <c r="B34" s="274" t="s">
        <v>703</v>
      </c>
      <c r="C34" s="275"/>
    </row>
    <row r="35" spans="1:3" x14ac:dyDescent="0.2">
      <c r="B35" s="227" t="s">
        <v>54</v>
      </c>
      <c r="C35" s="227" t="s">
        <v>770</v>
      </c>
    </row>
    <row r="36" spans="1:3" x14ac:dyDescent="0.2">
      <c r="A36" s="33" t="s">
        <v>771</v>
      </c>
      <c r="B36" s="234">
        <f>'DOE25'!F200+'DOE25'!F218+'DOE25'!F236+'DOE25'!F279+'DOE25'!F298+'DOE25'!F317</f>
        <v>452205.91</v>
      </c>
      <c r="C36" s="234">
        <f>'DOE25'!G200+'DOE25'!G218+'DOE25'!G236+'DOE25'!G279+'DOE25'!G298+'DOE25'!G317</f>
        <v>86272.29</v>
      </c>
    </row>
    <row r="37" spans="1:3" x14ac:dyDescent="0.2">
      <c r="A37" t="s">
        <v>773</v>
      </c>
      <c r="B37" s="239">
        <v>138076.43</v>
      </c>
      <c r="C37" s="239">
        <v>33456.379999999997</v>
      </c>
    </row>
    <row r="38" spans="1:3" x14ac:dyDescent="0.2">
      <c r="A38" t="s">
        <v>774</v>
      </c>
      <c r="B38" s="239">
        <v>88248.2</v>
      </c>
      <c r="C38" s="239">
        <v>16477.240000000002</v>
      </c>
    </row>
    <row r="39" spans="1:3" x14ac:dyDescent="0.2">
      <c r="A39" t="s">
        <v>775</v>
      </c>
      <c r="B39" s="239">
        <v>225881.27999999997</v>
      </c>
      <c r="C39" s="239">
        <v>36338.67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452205.91</v>
      </c>
      <c r="C40" s="230">
        <f>SUM(C37:C39)</f>
        <v>86272.29</v>
      </c>
    </row>
    <row r="41" spans="1:3" x14ac:dyDescent="0.2">
      <c r="B41" s="229"/>
      <c r="C41" s="229"/>
    </row>
    <row r="42" spans="1:3" x14ac:dyDescent="0.2">
      <c r="A42" s="33" t="s">
        <v>831</v>
      </c>
      <c r="B42" s="229"/>
      <c r="C42" s="229"/>
    </row>
    <row r="43" spans="1:3" x14ac:dyDescent="0.2">
      <c r="A43" t="s">
        <v>835</v>
      </c>
      <c r="B43" s="229"/>
      <c r="C43" s="229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3" t="s">
        <v>772</v>
      </c>
    </row>
    <row r="49" spans="1:1" x14ac:dyDescent="0.2">
      <c r="A49" s="267" t="s">
        <v>838</v>
      </c>
    </row>
    <row r="50" spans="1:1" x14ac:dyDescent="0.2">
      <c r="A50" s="267" t="s">
        <v>832</v>
      </c>
    </row>
    <row r="51" spans="1:1" x14ac:dyDescent="0.2">
      <c r="A51" s="267" t="s">
        <v>839</v>
      </c>
    </row>
    <row r="52" spans="1:1" x14ac:dyDescent="0.2">
      <c r="A52" s="268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784</v>
      </c>
      <c r="B1" s="281"/>
      <c r="C1" s="281"/>
      <c r="D1" s="281"/>
      <c r="E1" s="281"/>
      <c r="F1" s="281"/>
      <c r="G1" s="281"/>
      <c r="H1" s="281"/>
      <c r="I1" s="180"/>
    </row>
    <row r="2" spans="1:9" x14ac:dyDescent="0.2">
      <c r="A2" s="33" t="s">
        <v>711</v>
      </c>
      <c r="B2" s="264" t="str">
        <f>'DOE25'!A2</f>
        <v>Newfound Area</v>
      </c>
      <c r="C2" s="180"/>
      <c r="D2" s="180" t="s">
        <v>786</v>
      </c>
      <c r="E2" s="180" t="s">
        <v>788</v>
      </c>
      <c r="F2" s="278" t="s">
        <v>815</v>
      </c>
      <c r="G2" s="279"/>
      <c r="H2" s="28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787</v>
      </c>
      <c r="E3" s="180" t="s">
        <v>789</v>
      </c>
      <c r="F3" s="240" t="s">
        <v>829</v>
      </c>
      <c r="G3" s="216" t="s">
        <v>59</v>
      </c>
      <c r="H3" s="241" t="s">
        <v>792</v>
      </c>
    </row>
    <row r="4" spans="1:9" x14ac:dyDescent="0.2">
      <c r="A4" s="250" t="s">
        <v>794</v>
      </c>
      <c r="B4" s="250" t="s">
        <v>810</v>
      </c>
      <c r="C4" s="250" t="s">
        <v>785</v>
      </c>
      <c r="D4" s="250" t="s">
        <v>811</v>
      </c>
      <c r="E4" s="250" t="s">
        <v>811</v>
      </c>
      <c r="F4" s="249" t="s">
        <v>791</v>
      </c>
      <c r="G4" s="250" t="s">
        <v>805</v>
      </c>
      <c r="H4" s="251" t="s">
        <v>793</v>
      </c>
    </row>
    <row r="5" spans="1:9" x14ac:dyDescent="0.2">
      <c r="A5" s="32">
        <v>1000</v>
      </c>
      <c r="B5" t="s">
        <v>195</v>
      </c>
      <c r="C5" s="244">
        <f t="shared" ref="C5:C19" si="0">SUM(D5:H5)</f>
        <v>11600723.77</v>
      </c>
      <c r="D5" s="20">
        <f>SUM('DOE25'!L197:L200)+SUM('DOE25'!L215:L218)+SUM('DOE25'!L233:L236)-F5-G5</f>
        <v>11492963.969999999</v>
      </c>
      <c r="E5" s="242"/>
      <c r="F5" s="254">
        <f>SUM('DOE25'!J197:J200)+SUM('DOE25'!J215:J218)+SUM('DOE25'!J233:J236)</f>
        <v>79602.31</v>
      </c>
      <c r="G5" s="53">
        <f>SUM('DOE25'!K197:K200)+SUM('DOE25'!K215:K218)+SUM('DOE25'!K233:K236)</f>
        <v>28157.489999999998</v>
      </c>
      <c r="H5" s="258"/>
    </row>
    <row r="6" spans="1:9" x14ac:dyDescent="0.2">
      <c r="A6" s="32">
        <v>2100</v>
      </c>
      <c r="B6" t="s">
        <v>795</v>
      </c>
      <c r="C6" s="244">
        <f t="shared" si="0"/>
        <v>2090970.26</v>
      </c>
      <c r="D6" s="20">
        <f>'DOE25'!L202+'DOE25'!L220+'DOE25'!L238-F6-G6</f>
        <v>2082819.1</v>
      </c>
      <c r="E6" s="242"/>
      <c r="F6" s="254">
        <f>'DOE25'!J202+'DOE25'!J220+'DOE25'!J238</f>
        <v>6902.1600000000008</v>
      </c>
      <c r="G6" s="53">
        <f>'DOE25'!K202+'DOE25'!K220+'DOE25'!K238</f>
        <v>1249</v>
      </c>
      <c r="H6" s="258"/>
    </row>
    <row r="7" spans="1:9" x14ac:dyDescent="0.2">
      <c r="A7" s="32">
        <v>2200</v>
      </c>
      <c r="B7" t="s">
        <v>828</v>
      </c>
      <c r="C7" s="244">
        <f t="shared" si="0"/>
        <v>794358.25</v>
      </c>
      <c r="D7" s="20">
        <f>'DOE25'!L203+'DOE25'!L221+'DOE25'!L239-F7-G7</f>
        <v>487840.85999999993</v>
      </c>
      <c r="E7" s="242"/>
      <c r="F7" s="254">
        <f>'DOE25'!J203+'DOE25'!J221+'DOE25'!J239</f>
        <v>146514.96</v>
      </c>
      <c r="G7" s="53">
        <f>'DOE25'!K203+'DOE25'!K221+'DOE25'!K239</f>
        <v>160002.43</v>
      </c>
      <c r="H7" s="258"/>
    </row>
    <row r="8" spans="1:9" x14ac:dyDescent="0.2">
      <c r="A8" s="32">
        <v>2300</v>
      </c>
      <c r="B8" t="s">
        <v>796</v>
      </c>
      <c r="C8" s="244">
        <f t="shared" si="0"/>
        <v>805010.9</v>
      </c>
      <c r="D8" s="242"/>
      <c r="E8" s="20">
        <f>'DOE25'!L204+'DOE25'!L222+'DOE25'!L240-F8-G8-D9-D11</f>
        <v>791465.53</v>
      </c>
      <c r="F8" s="254">
        <f>'DOE25'!J204+'DOE25'!J222+'DOE25'!J240</f>
        <v>3406.6699999999996</v>
      </c>
      <c r="G8" s="53">
        <f>'DOE25'!K204+'DOE25'!K222+'DOE25'!K240</f>
        <v>10138.700000000001</v>
      </c>
      <c r="H8" s="258"/>
    </row>
    <row r="9" spans="1:9" x14ac:dyDescent="0.2">
      <c r="A9" s="32">
        <v>2310</v>
      </c>
      <c r="B9" t="s">
        <v>812</v>
      </c>
      <c r="C9" s="244">
        <f t="shared" si="0"/>
        <v>4679.76</v>
      </c>
      <c r="D9" s="243">
        <v>4679.76</v>
      </c>
      <c r="E9" s="242"/>
      <c r="F9" s="257"/>
      <c r="G9" s="255"/>
      <c r="H9" s="258"/>
    </row>
    <row r="10" spans="1:9" x14ac:dyDescent="0.2">
      <c r="A10" s="32">
        <v>2317</v>
      </c>
      <c r="B10" t="s">
        <v>813</v>
      </c>
      <c r="C10" s="244">
        <f t="shared" si="0"/>
        <v>19000</v>
      </c>
      <c r="D10" s="242"/>
      <c r="E10" s="243">
        <v>19000</v>
      </c>
      <c r="F10" s="257"/>
      <c r="G10" s="255"/>
      <c r="H10" s="258"/>
    </row>
    <row r="11" spans="1:9" x14ac:dyDescent="0.2">
      <c r="A11" s="32">
        <v>2321</v>
      </c>
      <c r="B11" t="s">
        <v>825</v>
      </c>
      <c r="C11" s="244">
        <f t="shared" si="0"/>
        <v>255581.5</v>
      </c>
      <c r="D11" s="243">
        <f>126720.77+60184.57+45827.63+22848.53</f>
        <v>255581.5</v>
      </c>
      <c r="E11" s="242"/>
      <c r="F11" s="257"/>
      <c r="G11" s="255"/>
      <c r="H11" s="258"/>
    </row>
    <row r="12" spans="1:9" x14ac:dyDescent="0.2">
      <c r="A12" s="32">
        <v>2400</v>
      </c>
      <c r="B12" t="s">
        <v>709</v>
      </c>
      <c r="C12" s="244">
        <f t="shared" si="0"/>
        <v>1423063.3</v>
      </c>
      <c r="D12" s="20">
        <f>'DOE25'!L205+'DOE25'!L223+'DOE25'!L241-F12-G12</f>
        <v>1406034.6</v>
      </c>
      <c r="E12" s="242"/>
      <c r="F12" s="254">
        <f>'DOE25'!J205+'DOE25'!J223+'DOE25'!J241</f>
        <v>9104.73</v>
      </c>
      <c r="G12" s="53">
        <f>'DOE25'!K205+'DOE25'!K223+'DOE25'!K241</f>
        <v>7923.97</v>
      </c>
      <c r="H12" s="258"/>
    </row>
    <row r="13" spans="1:9" x14ac:dyDescent="0.2">
      <c r="A13" s="32">
        <v>2500</v>
      </c>
      <c r="B13" t="s">
        <v>797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826</v>
      </c>
      <c r="C14" s="244">
        <f t="shared" si="0"/>
        <v>1870873.92</v>
      </c>
      <c r="D14" s="20">
        <f>'DOE25'!L207+'DOE25'!L225+'DOE25'!L243-F14-G14</f>
        <v>1807212.4</v>
      </c>
      <c r="E14" s="242"/>
      <c r="F14" s="254">
        <f>'DOE25'!J207+'DOE25'!J225+'DOE25'!J243</f>
        <v>63661.520000000004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798</v>
      </c>
      <c r="C15" s="244">
        <f t="shared" si="0"/>
        <v>1241402.3700000001</v>
      </c>
      <c r="D15" s="20">
        <f>'DOE25'!L208+'DOE25'!L226+'DOE25'!L244-F15-G15</f>
        <v>1241402.3700000001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799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800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801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802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790</v>
      </c>
      <c r="F21" s="259"/>
      <c r="G21" s="52"/>
      <c r="H21" s="260"/>
    </row>
    <row r="22" spans="1:8" x14ac:dyDescent="0.2">
      <c r="A22" s="32">
        <v>4000</v>
      </c>
      <c r="B22" t="s">
        <v>827</v>
      </c>
      <c r="C22" s="244">
        <f>SUM(D22:H22)</f>
        <v>619257.25</v>
      </c>
      <c r="D22" s="242"/>
      <c r="E22" s="242"/>
      <c r="F22" s="254">
        <f>'DOE25'!L255+'DOE25'!L336</f>
        <v>619257.25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461</v>
      </c>
      <c r="F24" s="259"/>
      <c r="G24" s="52"/>
      <c r="H24" s="260"/>
    </row>
    <row r="25" spans="1:8" x14ac:dyDescent="0.2">
      <c r="A25" s="32" t="s">
        <v>803</v>
      </c>
      <c r="B25" t="s">
        <v>804</v>
      </c>
      <c r="C25" s="244">
        <f>SUM(D25:H25)</f>
        <v>263006.45</v>
      </c>
      <c r="D25" s="242"/>
      <c r="E25" s="242"/>
      <c r="F25" s="257"/>
      <c r="G25" s="255"/>
      <c r="H25" s="256">
        <f>'DOE25'!L260+'DOE25'!L261+'DOE25'!L341+'DOE25'!L342</f>
        <v>263006.45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806</v>
      </c>
      <c r="F27" s="259"/>
      <c r="G27" s="52"/>
      <c r="H27" s="260"/>
    </row>
    <row r="28" spans="1:8" x14ac:dyDescent="0.2">
      <c r="A28" s="32">
        <v>3100</v>
      </c>
      <c r="B28" t="s">
        <v>819</v>
      </c>
      <c r="F28" s="259"/>
      <c r="G28" s="52"/>
      <c r="H28" s="260"/>
    </row>
    <row r="29" spans="1:8" x14ac:dyDescent="0.2">
      <c r="A29" s="32"/>
      <c r="B29" t="s">
        <v>807</v>
      </c>
      <c r="C29" s="244">
        <f>SUM(D29:H29)</f>
        <v>535030.75999999989</v>
      </c>
      <c r="D29" s="20">
        <f>'DOE25'!L358+'DOE25'!L359+'DOE25'!L360-'DOE25'!I367-F29-G29</f>
        <v>532060.25999999989</v>
      </c>
      <c r="E29" s="242"/>
      <c r="F29" s="254">
        <f>'DOE25'!J358+'DOE25'!J359+'DOE25'!J360</f>
        <v>0</v>
      </c>
      <c r="G29" s="53">
        <f>'DOE25'!K358+'DOE25'!K359+'DOE25'!K360</f>
        <v>2970.5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821</v>
      </c>
      <c r="B31" t="s">
        <v>820</v>
      </c>
      <c r="C31" s="244">
        <f>SUM(D31:H31)</f>
        <v>1243198.9700000002</v>
      </c>
      <c r="D31" s="20">
        <f>'DOE25'!L290+'DOE25'!L309+'DOE25'!L328+'DOE25'!L333+'DOE25'!L334+'DOE25'!L335-F31-G31</f>
        <v>1217664.0100000002</v>
      </c>
      <c r="E31" s="242"/>
      <c r="F31" s="254">
        <f>'DOE25'!J290+'DOE25'!J309+'DOE25'!J328+'DOE25'!J333+'DOE25'!J334+'DOE25'!J335</f>
        <v>22302.960000000003</v>
      </c>
      <c r="G31" s="53">
        <f>'DOE25'!K290+'DOE25'!K309+'DOE25'!K328+'DOE25'!K333+'DOE25'!K334+'DOE25'!K335</f>
        <v>3232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808</v>
      </c>
      <c r="D33" s="245">
        <f>SUM(D5:D31)</f>
        <v>20528258.830000002</v>
      </c>
      <c r="E33" s="245">
        <f>SUM(E5:E31)</f>
        <v>810465.53</v>
      </c>
      <c r="F33" s="245">
        <f>SUM(F5:F31)</f>
        <v>950752.56</v>
      </c>
      <c r="G33" s="245">
        <f>SUM(G5:G31)</f>
        <v>213674.09</v>
      </c>
      <c r="H33" s="245">
        <f>SUM(H5:H31)</f>
        <v>263006.45</v>
      </c>
    </row>
    <row r="35" spans="2:8" ht="12" thickBot="1" x14ac:dyDescent="0.25">
      <c r="B35" s="252" t="s">
        <v>841</v>
      </c>
      <c r="D35" s="253">
        <f>E33</f>
        <v>810465.53</v>
      </c>
      <c r="E35" s="248"/>
    </row>
    <row r="36" spans="2:8" ht="12" thickTop="1" x14ac:dyDescent="0.2">
      <c r="B36" t="s">
        <v>809</v>
      </c>
      <c r="D36" s="20">
        <f>D33</f>
        <v>20528258.830000002</v>
      </c>
    </row>
    <row r="38" spans="2:8" x14ac:dyDescent="0.2">
      <c r="B38" s="186" t="s">
        <v>908</v>
      </c>
      <c r="C38" s="265"/>
      <c r="D38" s="266"/>
    </row>
    <row r="39" spans="2:8" x14ac:dyDescent="0.2">
      <c r="B39" t="s">
        <v>818</v>
      </c>
      <c r="D39" s="180" t="str">
        <f>IF(E10&gt;0,"Y","N")</f>
        <v>Y</v>
      </c>
    </row>
    <row r="41" spans="2:8" x14ac:dyDescent="0.2">
      <c r="B41" s="263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1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1645105.92</v>
      </c>
      <c r="D8" s="95">
        <f>'DOE25'!G9</f>
        <v>2845.49</v>
      </c>
      <c r="E8" s="95">
        <f>'DOE25'!H9</f>
        <v>0</v>
      </c>
      <c r="F8" s="95">
        <f>'DOE25'!I9</f>
        <v>0</v>
      </c>
      <c r="G8" s="95">
        <f>'DOE25'!J9</f>
        <v>130300.07999999999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443498.06000000006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253465.09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956995.84000000008</v>
      </c>
      <c r="D12" s="95">
        <f>'DOE25'!G13</f>
        <v>89257.790000000008</v>
      </c>
      <c r="E12" s="95">
        <f>'DOE25'!H13</f>
        <v>250621.15000000002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15563.880000000001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2855566.85</v>
      </c>
      <c r="D18" s="41">
        <f>SUM(D8:D17)</f>
        <v>107667.16000000002</v>
      </c>
      <c r="E18" s="41">
        <f>SUM(E8:E17)</f>
        <v>250621.15000000002</v>
      </c>
      <c r="F18" s="41">
        <f>SUM(F8:F17)</f>
        <v>0</v>
      </c>
      <c r="G18" s="41">
        <f>SUM(G8:G17)</f>
        <v>573798.14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69063.37</v>
      </c>
      <c r="E21" s="95">
        <f>'DOE25'!H22</f>
        <v>184401.72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525.28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1239917.1399999999</v>
      </c>
      <c r="D27" s="95">
        <f>'DOE25'!G28</f>
        <v>0</v>
      </c>
      <c r="E27" s="95">
        <f>'DOE25'!H28</f>
        <v>35312.949999999997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30906.48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1240442.42</v>
      </c>
      <c r="D31" s="41">
        <f>SUM(D21:D30)</f>
        <v>69063.37</v>
      </c>
      <c r="E31" s="41">
        <f>SUM(E21:E30)</f>
        <v>250621.15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15563.880000000001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111632.7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23039.91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430785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462165.44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1184338.4300000002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1615124.4300000002</v>
      </c>
      <c r="D50" s="41">
        <f>SUM(D34:D49)</f>
        <v>38603.79</v>
      </c>
      <c r="E50" s="41">
        <f>SUM(E34:E49)</f>
        <v>0</v>
      </c>
      <c r="F50" s="41">
        <f>SUM(F34:F49)</f>
        <v>0</v>
      </c>
      <c r="G50" s="41">
        <f>SUM(G34:G49)</f>
        <v>573798.14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2855566.85</v>
      </c>
      <c r="D51" s="41">
        <f>D50+D31</f>
        <v>107667.16</v>
      </c>
      <c r="E51" s="41">
        <f>E50+E31</f>
        <v>250621.15</v>
      </c>
      <c r="F51" s="41">
        <f>F50+F31</f>
        <v>0</v>
      </c>
      <c r="G51" s="41">
        <f>G50+G31</f>
        <v>573798.14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13192126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824657.11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5198.62</v>
      </c>
      <c r="D59" s="95">
        <f>'DOE25'!G96</f>
        <v>39.39</v>
      </c>
      <c r="E59" s="95">
        <f>'DOE25'!H96</f>
        <v>0</v>
      </c>
      <c r="F59" s="95">
        <f>'DOE25'!I96</f>
        <v>0</v>
      </c>
      <c r="G59" s="95">
        <f>'DOE25'!J96</f>
        <v>2039.49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244116.1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831434.73</v>
      </c>
      <c r="D62" s="130">
        <f>SUM(D57:D61)</f>
        <v>244155.49000000002</v>
      </c>
      <c r="E62" s="130">
        <f>SUM(E57:E61)</f>
        <v>0</v>
      </c>
      <c r="F62" s="130">
        <f>SUM(F57:F61)</f>
        <v>0</v>
      </c>
      <c r="G62" s="130">
        <f>SUM(G57:G61)</f>
        <v>2039.49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14023560.73</v>
      </c>
      <c r="D63" s="22">
        <f>D56+D62</f>
        <v>244155.49000000002</v>
      </c>
      <c r="E63" s="22">
        <f>E56+E62</f>
        <v>0</v>
      </c>
      <c r="F63" s="22">
        <f>F56+F62</f>
        <v>0</v>
      </c>
      <c r="G63" s="22">
        <f>G56+G62</f>
        <v>2039.49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3163098.1719999998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4039328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7664.4780000000001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7210090.6500000004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97426.19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76755.539999999994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4683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137412</v>
      </c>
      <c r="D77" s="95">
        <f>SUM('DOE25'!G131:G135)</f>
        <v>21480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316276.73</v>
      </c>
      <c r="D78" s="130">
        <f>SUM(D72:D77)</f>
        <v>21480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7526367.3800000008</v>
      </c>
      <c r="D81" s="130">
        <f>SUM(D79:D80)+D78+D70</f>
        <v>21480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411735.60000000003</v>
      </c>
      <c r="D88" s="95">
        <f>SUM('DOE25'!G153:G161)</f>
        <v>252435.18</v>
      </c>
      <c r="E88" s="95">
        <f>SUM('DOE25'!H153:H161)</f>
        <v>1197566.5699999998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2549.6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414285.2</v>
      </c>
      <c r="D91" s="131">
        <f>SUM(D85:D90)</f>
        <v>252435.18</v>
      </c>
      <c r="E91" s="131">
        <f>SUM(E85:E90)</f>
        <v>1197566.5699999998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40000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40000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21964213.309999999</v>
      </c>
      <c r="D104" s="86">
        <f>D63+D81+D91+D103</f>
        <v>558070.66999999993</v>
      </c>
      <c r="E104" s="86">
        <f>E63+E81+E91+E103</f>
        <v>1197566.5699999998</v>
      </c>
      <c r="F104" s="86">
        <f>F63+F81+F91+F103</f>
        <v>0</v>
      </c>
      <c r="G104" s="86">
        <f>G63+G81+G103</f>
        <v>102039.49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7721929.25</v>
      </c>
      <c r="D109" s="24" t="s">
        <v>286</v>
      </c>
      <c r="E109" s="95">
        <f>('DOE25'!L276)+('DOE25'!L295)+('DOE25'!L314)</f>
        <v>454232.83000000007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3425856.0199999996</v>
      </c>
      <c r="D110" s="24" t="s">
        <v>286</v>
      </c>
      <c r="E110" s="95">
        <f>('DOE25'!L277)+('DOE25'!L296)+('DOE25'!L315)</f>
        <v>144574.25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24905.66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428032.83999999997</v>
      </c>
      <c r="D112" s="24" t="s">
        <v>286</v>
      </c>
      <c r="E112" s="95">
        <f>+('DOE25'!L279)+('DOE25'!L298)+('DOE25'!L317)</f>
        <v>260614.38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11600723.77</v>
      </c>
      <c r="D115" s="86">
        <f>SUM(D109:D114)</f>
        <v>0</v>
      </c>
      <c r="E115" s="86">
        <f>SUM(E109:E114)</f>
        <v>859421.46000000008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2090970.26</v>
      </c>
      <c r="D118" s="24" t="s">
        <v>286</v>
      </c>
      <c r="E118" s="95">
        <f>+('DOE25'!L281)+('DOE25'!L300)+('DOE25'!L319)</f>
        <v>199778.27000000002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794358.24999999988</v>
      </c>
      <c r="D119" s="24" t="s">
        <v>286</v>
      </c>
      <c r="E119" s="95">
        <f>+('DOE25'!L282)+('DOE25'!L301)+('DOE25'!L320)</f>
        <v>95493.599999999991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1065272.1599999999</v>
      </c>
      <c r="D120" s="24" t="s">
        <v>286</v>
      </c>
      <c r="E120" s="95">
        <f>+('DOE25'!L283)+('DOE25'!L302)+('DOE25'!L321)</f>
        <v>30767.72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1423063.3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1870873.92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1241402.3700000001</v>
      </c>
      <c r="D124" s="24" t="s">
        <v>286</v>
      </c>
      <c r="E124" s="95">
        <f>+('DOE25'!L287)+('DOE25'!L306)+('DOE25'!L325)</f>
        <v>57737.919999999998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535030.75999999989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8485940.2599999998</v>
      </c>
      <c r="D128" s="86">
        <f>SUM(D118:D127)</f>
        <v>535030.75999999989</v>
      </c>
      <c r="E128" s="86">
        <f>SUM(E118:E127)</f>
        <v>383777.50999999995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619257.25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177138.54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85867.91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165</v>
      </c>
    </row>
    <row r="135" spans="1:7" x14ac:dyDescent="0.2">
      <c r="A135" t="s">
        <v>233</v>
      </c>
      <c r="B135" s="32" t="s">
        <v>234</v>
      </c>
      <c r="C135" s="95">
        <f>'DOE25'!L263</f>
        <v>40000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102039.49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-2039.4900000000052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1022263.7000000001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165</v>
      </c>
    </row>
    <row r="145" spans="1:9" ht="12.75" thickTop="1" thickBot="1" x14ac:dyDescent="0.25">
      <c r="A145" s="33" t="s">
        <v>244</v>
      </c>
      <c r="C145" s="86">
        <f>(C115+C128+C144)</f>
        <v>21108927.73</v>
      </c>
      <c r="D145" s="86">
        <f>(D115+D128+D144)</f>
        <v>535030.75999999989</v>
      </c>
      <c r="E145" s="86">
        <f>(E115+E128+E144)</f>
        <v>1243198.97</v>
      </c>
      <c r="F145" s="86">
        <f>(F115+F128+F144)</f>
        <v>0</v>
      </c>
      <c r="G145" s="86">
        <f>(G115+G128+G144)</f>
        <v>165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2">
        <f>'DOE25'!F490</f>
        <v>15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286</v>
      </c>
    </row>
    <row r="152" spans="1:9" x14ac:dyDescent="0.2">
      <c r="A152" s="136" t="s">
        <v>28</v>
      </c>
      <c r="B152" s="151" t="str">
        <f>'DOE25'!F491</f>
        <v>07/10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286</v>
      </c>
    </row>
    <row r="153" spans="1:9" x14ac:dyDescent="0.2">
      <c r="A153" s="136" t="s">
        <v>29</v>
      </c>
      <c r="B153" s="151" t="str">
        <f>'DOE25'!F492</f>
        <v>01/26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2657078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5.54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1594246.7599999998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1594246.7599999998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177138.54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177138.54</v>
      </c>
    </row>
    <row r="159" spans="1:9" x14ac:dyDescent="0.2">
      <c r="A159" s="22" t="s">
        <v>35</v>
      </c>
      <c r="B159" s="137">
        <f>'DOE25'!F498</f>
        <v>1417108.2199999997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1417108.2199999997</v>
      </c>
    </row>
    <row r="160" spans="1:9" x14ac:dyDescent="0.2">
      <c r="A160" s="22" t="s">
        <v>36</v>
      </c>
      <c r="B160" s="137">
        <f>'DOE25'!F499</f>
        <v>333658.11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333658.11</v>
      </c>
    </row>
    <row r="161" spans="1:7" x14ac:dyDescent="0.2">
      <c r="A161" s="22" t="s">
        <v>37</v>
      </c>
      <c r="B161" s="137">
        <f>'DOE25'!F500</f>
        <v>1750766.3299999996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1750766.3299999996</v>
      </c>
    </row>
    <row r="162" spans="1:7" x14ac:dyDescent="0.2">
      <c r="A162" s="22" t="s">
        <v>38</v>
      </c>
      <c r="B162" s="137">
        <f>'DOE25'!F501</f>
        <v>177138.54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177138.54</v>
      </c>
    </row>
    <row r="163" spans="1:7" x14ac:dyDescent="0.2">
      <c r="A163" s="22" t="s">
        <v>39</v>
      </c>
      <c r="B163" s="137">
        <f>'DOE25'!F502</f>
        <v>76054.429999999993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76054.429999999993</v>
      </c>
    </row>
    <row r="164" spans="1:7" x14ac:dyDescent="0.2">
      <c r="A164" s="22" t="s">
        <v>246</v>
      </c>
      <c r="B164" s="137">
        <f>'DOE25'!F503</f>
        <v>253192.97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253192.97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734</v>
      </c>
      <c r="B1" s="282"/>
      <c r="C1" s="282"/>
      <c r="D1" s="282"/>
    </row>
    <row r="2" spans="1:4" x14ac:dyDescent="0.2">
      <c r="A2" s="186" t="s">
        <v>711</v>
      </c>
      <c r="B2" s="185" t="str">
        <f>'DOE25'!A2</f>
        <v>Newfound Area</v>
      </c>
    </row>
    <row r="3" spans="1:4" x14ac:dyDescent="0.2">
      <c r="B3" s="187" t="s">
        <v>909</v>
      </c>
    </row>
    <row r="4" spans="1:4" x14ac:dyDescent="0.2">
      <c r="B4" t="s">
        <v>61</v>
      </c>
      <c r="C4" s="178">
        <f>IF('DOE25'!F665+'DOE25'!F670=0,0,ROUND('DOE25'!F672,0))</f>
        <v>17669</v>
      </c>
    </row>
    <row r="5" spans="1:4" x14ac:dyDescent="0.2">
      <c r="B5" t="s">
        <v>698</v>
      </c>
      <c r="C5" s="178">
        <f>IF('DOE25'!G665+'DOE25'!G670=0,0,ROUND('DOE25'!G672,0))</f>
        <v>15112</v>
      </c>
    </row>
    <row r="6" spans="1:4" x14ac:dyDescent="0.2">
      <c r="B6" t="s">
        <v>62</v>
      </c>
      <c r="C6" s="178">
        <f>IF('DOE25'!H665+'DOE25'!H670=0,0,ROUND('DOE25'!H672,0))</f>
        <v>16807</v>
      </c>
    </row>
    <row r="7" spans="1:4" x14ac:dyDescent="0.2">
      <c r="B7" t="s">
        <v>699</v>
      </c>
      <c r="C7" s="178">
        <f>IF('DOE25'!I665+'DOE25'!I670=0,0,ROUND('DOE25'!I672,0))</f>
        <v>16722</v>
      </c>
    </row>
    <row r="9" spans="1:4" x14ac:dyDescent="0.2">
      <c r="A9" s="186" t="s">
        <v>94</v>
      </c>
      <c r="B9" s="187" t="s">
        <v>910</v>
      </c>
      <c r="C9" s="180" t="s">
        <v>718</v>
      </c>
      <c r="D9" s="180" t="s">
        <v>719</v>
      </c>
    </row>
    <row r="10" spans="1:4" x14ac:dyDescent="0.2">
      <c r="A10">
        <v>1100</v>
      </c>
      <c r="B10" t="s">
        <v>700</v>
      </c>
      <c r="C10" s="178">
        <f>ROUND('DOE25'!L197+'DOE25'!L215+'DOE25'!L233+'DOE25'!L276+'DOE25'!L295+'DOE25'!L314,0)</f>
        <v>8176162</v>
      </c>
      <c r="D10" s="181">
        <f>ROUND((C10/$C$28)*100,1)</f>
        <v>37.700000000000003</v>
      </c>
    </row>
    <row r="11" spans="1:4" x14ac:dyDescent="0.2">
      <c r="A11">
        <v>1200</v>
      </c>
      <c r="B11" t="s">
        <v>701</v>
      </c>
      <c r="C11" s="178">
        <f>ROUND('DOE25'!L198+'DOE25'!L216+'DOE25'!L234+'DOE25'!L277+'DOE25'!L296+'DOE25'!L315,0)</f>
        <v>3570430</v>
      </c>
      <c r="D11" s="181">
        <f>ROUND((C11/$C$28)*100,1)</f>
        <v>16.399999999999999</v>
      </c>
    </row>
    <row r="12" spans="1:4" x14ac:dyDescent="0.2">
      <c r="A12">
        <v>1300</v>
      </c>
      <c r="B12" t="s">
        <v>702</v>
      </c>
      <c r="C12" s="178">
        <f>ROUND('DOE25'!L199+'DOE25'!L217+'DOE25'!L235+'DOE25'!L278+'DOE25'!L297+'DOE25'!L316,0)</f>
        <v>24906</v>
      </c>
      <c r="D12" s="181">
        <f>ROUND((C12/$C$28)*100,1)</f>
        <v>0.1</v>
      </c>
    </row>
    <row r="13" spans="1:4" x14ac:dyDescent="0.2">
      <c r="A13">
        <v>1400</v>
      </c>
      <c r="B13" t="s">
        <v>703</v>
      </c>
      <c r="C13" s="178">
        <f>ROUND('DOE25'!L200+'DOE25'!L218+'DOE25'!L236+'DOE25'!L279+'DOE25'!L298+'DOE25'!L317,0)</f>
        <v>688647</v>
      </c>
      <c r="D13" s="181">
        <f>ROUND((C13/$C$28)*100,1)</f>
        <v>3.2</v>
      </c>
    </row>
    <row r="14" spans="1:4" x14ac:dyDescent="0.2">
      <c r="D14" s="181"/>
    </row>
    <row r="15" spans="1:4" x14ac:dyDescent="0.2">
      <c r="A15">
        <v>2100</v>
      </c>
      <c r="B15" t="s">
        <v>704</v>
      </c>
      <c r="C15" s="178">
        <f>ROUND('DOE25'!L202+'DOE25'!L220+'DOE25'!L238+'DOE25'!L281+'DOE25'!L300+'DOE25'!L319,0)</f>
        <v>2290749</v>
      </c>
      <c r="D15" s="181">
        <f t="shared" ref="D15:D27" si="0">ROUND((C15/$C$28)*100,1)</f>
        <v>10.6</v>
      </c>
    </row>
    <row r="16" spans="1:4" x14ac:dyDescent="0.2">
      <c r="A16">
        <v>2200</v>
      </c>
      <c r="B16" t="s">
        <v>705</v>
      </c>
      <c r="C16" s="178">
        <f>ROUND('DOE25'!L203+'DOE25'!L221+'DOE25'!L239+'DOE25'!L282+'DOE25'!L301+'DOE25'!L320,0)</f>
        <v>889852</v>
      </c>
      <c r="D16" s="181">
        <f t="shared" si="0"/>
        <v>4.0999999999999996</v>
      </c>
    </row>
    <row r="17" spans="1:4" x14ac:dyDescent="0.2">
      <c r="A17" s="182" t="s">
        <v>721</v>
      </c>
      <c r="B17" t="s">
        <v>736</v>
      </c>
      <c r="C17" s="178">
        <f>ROUND('DOE25'!L204+'DOE25'!L209+'DOE25'!L222+'DOE25'!L227+'DOE25'!L240+'DOE25'!L245+'DOE25'!L283+'DOE25'!L288+'DOE25'!L302+'DOE25'!L307+'DOE25'!L321+'DOE25'!L326,0)</f>
        <v>1096040</v>
      </c>
      <c r="D17" s="181">
        <f t="shared" si="0"/>
        <v>5</v>
      </c>
    </row>
    <row r="18" spans="1:4" x14ac:dyDescent="0.2">
      <c r="A18">
        <v>2400</v>
      </c>
      <c r="B18" t="s">
        <v>709</v>
      </c>
      <c r="C18" s="178">
        <f>ROUND('DOE25'!L205+'DOE25'!L223+'DOE25'!L241+'DOE25'!L284+'DOE25'!L303+'DOE25'!L322,0)</f>
        <v>1423063</v>
      </c>
      <c r="D18" s="181">
        <f t="shared" si="0"/>
        <v>6.6</v>
      </c>
    </row>
    <row r="19" spans="1:4" x14ac:dyDescent="0.2">
      <c r="A19">
        <v>2500</v>
      </c>
      <c r="B19" t="s">
        <v>706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707</v>
      </c>
      <c r="C20" s="178">
        <f>ROUND('DOE25'!L207+'DOE25'!L225+'DOE25'!L243+'DOE25'!L286+'DOE25'!L305+'DOE25'!L324,0)</f>
        <v>1870874</v>
      </c>
      <c r="D20" s="181">
        <f t="shared" si="0"/>
        <v>8.6</v>
      </c>
    </row>
    <row r="21" spans="1:4" x14ac:dyDescent="0.2">
      <c r="A21">
        <v>2700</v>
      </c>
      <c r="B21" t="s">
        <v>708</v>
      </c>
      <c r="C21" s="178">
        <f>ROUND('DOE25'!L208+'DOE25'!L226+'DOE25'!L244+'DOE25'!L287+'DOE25'!L306+'DOE25'!L325,0)</f>
        <v>1299140</v>
      </c>
      <c r="D21" s="181">
        <f t="shared" si="0"/>
        <v>6</v>
      </c>
    </row>
    <row r="22" spans="1:4" x14ac:dyDescent="0.2">
      <c r="A22">
        <v>2900</v>
      </c>
      <c r="B22" t="s">
        <v>710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712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720</v>
      </c>
      <c r="B24" t="s">
        <v>713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714</v>
      </c>
      <c r="C25" s="178">
        <f>ROUND('DOE25'!L261+'DOE25'!L342,0)</f>
        <v>85868</v>
      </c>
      <c r="D25" s="181">
        <f t="shared" si="0"/>
        <v>0.4</v>
      </c>
    </row>
    <row r="26" spans="1:4" x14ac:dyDescent="0.2">
      <c r="A26" s="182" t="s">
        <v>715</v>
      </c>
      <c r="B26" t="s">
        <v>716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290914.90000000002</v>
      </c>
      <c r="D27" s="181">
        <f t="shared" si="0"/>
        <v>1.3</v>
      </c>
    </row>
    <row r="28" spans="1:4" x14ac:dyDescent="0.2">
      <c r="B28" s="186" t="s">
        <v>717</v>
      </c>
      <c r="C28" s="179">
        <f>SUM(C10:C27)</f>
        <v>21706645.899999999</v>
      </c>
      <c r="D28" s="183">
        <f>ROUND(SUM(D10:D27),0)</f>
        <v>100</v>
      </c>
    </row>
    <row r="29" spans="1:4" x14ac:dyDescent="0.2">
      <c r="A29">
        <v>4000</v>
      </c>
      <c r="B29" t="s">
        <v>722</v>
      </c>
      <c r="C29" s="178">
        <f>ROUND('DOE25'!L255+'DOE25'!L336+'DOE25'!L374+'DOE25'!L375+'DOE25'!L376+'DOE25'!L377+'DOE25'!L378+'DOE25'!L379+'DOE25'!L380,0)</f>
        <v>619257</v>
      </c>
    </row>
    <row r="30" spans="1:4" x14ac:dyDescent="0.2">
      <c r="B30" s="186" t="s">
        <v>723</v>
      </c>
      <c r="C30" s="179">
        <f>SUM(C28:C29)</f>
        <v>22325902.899999999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724</v>
      </c>
      <c r="C32" s="179">
        <f>ROUND('DOE25'!L260+'DOE25'!L341,0)</f>
        <v>177139</v>
      </c>
    </row>
    <row r="34" spans="1:4" x14ac:dyDescent="0.2">
      <c r="A34" s="186" t="s">
        <v>94</v>
      </c>
      <c r="B34" s="187" t="s">
        <v>911</v>
      </c>
      <c r="C34" s="180" t="s">
        <v>718</v>
      </c>
      <c r="D34" s="180" t="s">
        <v>719</v>
      </c>
    </row>
    <row r="35" spans="1:4" x14ac:dyDescent="0.2">
      <c r="A35">
        <v>1100</v>
      </c>
      <c r="B35" s="184" t="s">
        <v>725</v>
      </c>
      <c r="C35" s="178">
        <f>ROUND('DOE25'!F60+'DOE25'!G60+'DOE25'!H60+'DOE25'!I60+'DOE25'!J60,0)</f>
        <v>13192126</v>
      </c>
      <c r="D35" s="181">
        <f t="shared" ref="D35:D40" si="1">ROUND((C35/$C$41)*100,1)</f>
        <v>56.3</v>
      </c>
    </row>
    <row r="36" spans="1:4" x14ac:dyDescent="0.2">
      <c r="B36" s="184" t="s">
        <v>737</v>
      </c>
      <c r="C36" s="178">
        <f>SUM('DOE25'!F112:J112)-SUM('DOE25'!G97:G110)+('DOE25'!F174+'DOE25'!F175+'DOE25'!I174+'DOE25'!I175)-C35</f>
        <v>833513.6099999994</v>
      </c>
      <c r="D36" s="181">
        <f t="shared" si="1"/>
        <v>3.6</v>
      </c>
    </row>
    <row r="37" spans="1:4" x14ac:dyDescent="0.2">
      <c r="A37" s="182" t="s">
        <v>845</v>
      </c>
      <c r="B37" s="184" t="s">
        <v>726</v>
      </c>
      <c r="C37" s="178">
        <f>ROUND('DOE25'!F117+'DOE25'!F118,0)</f>
        <v>7202426</v>
      </c>
      <c r="D37" s="181">
        <f t="shared" si="1"/>
        <v>30.7</v>
      </c>
    </row>
    <row r="38" spans="1:4" x14ac:dyDescent="0.2">
      <c r="A38" s="182" t="s">
        <v>732</v>
      </c>
      <c r="B38" s="184" t="s">
        <v>727</v>
      </c>
      <c r="C38" s="178">
        <f>ROUND(SUM('DOE25'!F140:J140)-SUM('DOE25'!F117:F119),0)</f>
        <v>345421</v>
      </c>
      <c r="D38" s="181">
        <f t="shared" si="1"/>
        <v>1.5</v>
      </c>
    </row>
    <row r="39" spans="1:4" x14ac:dyDescent="0.2">
      <c r="A39">
        <v>4000</v>
      </c>
      <c r="B39" s="184" t="s">
        <v>728</v>
      </c>
      <c r="C39" s="178">
        <f>ROUND('DOE25'!F169+'DOE25'!G169+'DOE25'!H169+'DOE25'!I169,0)</f>
        <v>1864287</v>
      </c>
      <c r="D39" s="181">
        <f t="shared" si="1"/>
        <v>8</v>
      </c>
    </row>
    <row r="40" spans="1:4" x14ac:dyDescent="0.2">
      <c r="A40" s="182" t="s">
        <v>733</v>
      </c>
      <c r="B40" s="184" t="s">
        <v>729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730</v>
      </c>
      <c r="C41" s="179">
        <f>SUM(C35:C40)</f>
        <v>23437773.609999999</v>
      </c>
      <c r="D41" s="183">
        <f>SUM(D35:D40)</f>
        <v>100.1</v>
      </c>
    </row>
    <row r="42" spans="1:4" x14ac:dyDescent="0.2">
      <c r="A42" s="182" t="s">
        <v>735</v>
      </c>
      <c r="B42" s="184" t="s">
        <v>731</v>
      </c>
      <c r="C42" s="178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764</v>
      </c>
      <c r="B1" s="294"/>
      <c r="C1" s="294"/>
      <c r="D1" s="294"/>
      <c r="E1" s="294"/>
      <c r="F1" s="294"/>
      <c r="G1" s="294"/>
      <c r="H1" s="294"/>
      <c r="I1" s="294"/>
      <c r="J1" s="212"/>
      <c r="K1" s="212"/>
      <c r="L1" s="212"/>
      <c r="M1" s="213"/>
    </row>
    <row r="2" spans="1:26" ht="12.75" x14ac:dyDescent="0.2">
      <c r="A2" s="299" t="s">
        <v>761</v>
      </c>
      <c r="B2" s="300"/>
      <c r="C2" s="300"/>
      <c r="D2" s="300"/>
      <c r="E2" s="300"/>
      <c r="F2" s="297" t="str">
        <f>'DOE25'!A2</f>
        <v>Newfound Area</v>
      </c>
      <c r="G2" s="298"/>
      <c r="H2" s="298"/>
      <c r="I2" s="298"/>
      <c r="J2" s="52"/>
      <c r="K2" s="52"/>
      <c r="L2" s="52"/>
      <c r="M2" s="214"/>
    </row>
    <row r="3" spans="1:26" x14ac:dyDescent="0.2">
      <c r="A3" s="215" t="s">
        <v>762</v>
      </c>
      <c r="B3" s="216" t="s">
        <v>763</v>
      </c>
      <c r="C3" s="295" t="s">
        <v>765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7"/>
      <c r="B4" s="218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0"/>
      <c r="O29" s="21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6"/>
      <c r="AB29" s="206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6"/>
      <c r="AO29" s="206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6"/>
      <c r="BB29" s="206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6"/>
      <c r="BO29" s="206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6"/>
      <c r="CB29" s="206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6"/>
      <c r="CO29" s="206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6"/>
      <c r="DB29" s="206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6"/>
      <c r="DO29" s="206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6"/>
      <c r="EB29" s="206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6"/>
      <c r="EO29" s="206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6"/>
      <c r="FB29" s="206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6"/>
      <c r="FO29" s="206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6"/>
      <c r="GB29" s="206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6"/>
      <c r="GO29" s="206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6"/>
      <c r="HB29" s="206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6"/>
      <c r="HO29" s="206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6"/>
      <c r="IB29" s="206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6"/>
      <c r="IO29" s="206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7"/>
      <c r="B30" s="218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0"/>
      <c r="O30" s="21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6"/>
      <c r="AB30" s="206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6"/>
      <c r="AO30" s="206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6"/>
      <c r="BB30" s="206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6"/>
      <c r="BO30" s="206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6"/>
      <c r="CB30" s="206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6"/>
      <c r="CO30" s="206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6"/>
      <c r="DB30" s="206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6"/>
      <c r="DO30" s="206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6"/>
      <c r="EB30" s="206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6"/>
      <c r="EO30" s="206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6"/>
      <c r="FB30" s="206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6"/>
      <c r="FO30" s="206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6"/>
      <c r="GB30" s="206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6"/>
      <c r="GO30" s="206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6"/>
      <c r="HB30" s="206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6"/>
      <c r="HO30" s="206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6"/>
      <c r="IB30" s="206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6"/>
      <c r="IO30" s="206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7"/>
      <c r="B31" s="218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0"/>
      <c r="O31" s="21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6"/>
      <c r="AB31" s="206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6"/>
      <c r="AO31" s="206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6"/>
      <c r="BB31" s="206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6"/>
      <c r="BO31" s="206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6"/>
      <c r="CB31" s="206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6"/>
      <c r="CO31" s="206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6"/>
      <c r="DB31" s="206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6"/>
      <c r="DO31" s="206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6"/>
      <c r="EB31" s="206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6"/>
      <c r="EO31" s="206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6"/>
      <c r="FB31" s="206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6"/>
      <c r="FO31" s="206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6"/>
      <c r="GB31" s="206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6"/>
      <c r="GO31" s="206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6"/>
      <c r="HB31" s="206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6"/>
      <c r="HO31" s="206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6"/>
      <c r="IB31" s="206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6"/>
      <c r="IO31" s="206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7"/>
      <c r="B32" s="218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2"/>
      <c r="O32" s="222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7"/>
      <c r="AB32" s="218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7"/>
      <c r="AO32" s="218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7"/>
      <c r="BB32" s="218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7"/>
      <c r="BO32" s="218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7"/>
      <c r="CB32" s="218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7"/>
      <c r="CO32" s="218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7"/>
      <c r="DB32" s="218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7"/>
      <c r="DO32" s="218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7"/>
      <c r="EB32" s="218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7"/>
      <c r="EO32" s="218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7"/>
      <c r="FB32" s="218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7"/>
      <c r="FO32" s="218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7"/>
      <c r="GB32" s="218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7"/>
      <c r="GO32" s="218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7"/>
      <c r="HB32" s="218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7"/>
      <c r="HO32" s="218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7"/>
      <c r="IB32" s="218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7"/>
      <c r="IO32" s="218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7"/>
      <c r="B33" s="218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0"/>
      <c r="O38" s="21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6"/>
      <c r="AB38" s="206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6"/>
      <c r="AO38" s="206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6"/>
      <c r="BB38" s="206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6"/>
      <c r="BO38" s="206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6"/>
      <c r="CB38" s="206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6"/>
      <c r="CO38" s="206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6"/>
      <c r="DB38" s="206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6"/>
      <c r="DO38" s="206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6"/>
      <c r="EB38" s="206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6"/>
      <c r="EO38" s="206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6"/>
      <c r="FB38" s="206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6"/>
      <c r="FO38" s="206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6"/>
      <c r="GB38" s="206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6"/>
      <c r="GO38" s="206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6"/>
      <c r="HB38" s="206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6"/>
      <c r="HO38" s="206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6"/>
      <c r="IB38" s="206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6"/>
      <c r="IO38" s="206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7"/>
      <c r="B39" s="218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0"/>
      <c r="O39" s="21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6"/>
      <c r="AB39" s="206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6"/>
      <c r="AO39" s="206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6"/>
      <c r="BB39" s="206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6"/>
      <c r="BO39" s="206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6"/>
      <c r="CB39" s="206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6"/>
      <c r="CO39" s="206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6"/>
      <c r="DB39" s="206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6"/>
      <c r="DO39" s="206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6"/>
      <c r="EB39" s="206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6"/>
      <c r="EO39" s="206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6"/>
      <c r="FB39" s="206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6"/>
      <c r="FO39" s="206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6"/>
      <c r="GB39" s="206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6"/>
      <c r="GO39" s="206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6"/>
      <c r="HB39" s="206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6"/>
      <c r="HO39" s="206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6"/>
      <c r="IB39" s="206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6"/>
      <c r="IO39" s="206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7"/>
      <c r="B40" s="218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0"/>
      <c r="O40" s="21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6"/>
      <c r="AB40" s="206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6"/>
      <c r="AO40" s="206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6"/>
      <c r="BB40" s="206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6"/>
      <c r="BO40" s="206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6"/>
      <c r="CB40" s="206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6"/>
      <c r="CO40" s="206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6"/>
      <c r="DB40" s="206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6"/>
      <c r="DO40" s="206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6"/>
      <c r="EB40" s="206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6"/>
      <c r="EO40" s="206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6"/>
      <c r="FB40" s="206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6"/>
      <c r="FO40" s="206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6"/>
      <c r="GB40" s="206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6"/>
      <c r="GO40" s="206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6"/>
      <c r="HB40" s="206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6"/>
      <c r="HO40" s="206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6"/>
      <c r="IB40" s="206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6"/>
      <c r="IO40" s="206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7"/>
      <c r="B41" s="218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7"/>
      <c r="B60" s="218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7"/>
      <c r="B61" s="218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7"/>
      <c r="B62" s="218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7"/>
      <c r="B63" s="218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7"/>
      <c r="B64" s="218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7"/>
      <c r="B65" s="218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7"/>
      <c r="B66" s="218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7"/>
      <c r="B67" s="218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7"/>
      <c r="B68" s="218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7"/>
      <c r="B69" s="218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9"/>
      <c r="B70" s="220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8" t="s">
        <v>842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762</v>
      </c>
      <c r="B73" s="209" t="s">
        <v>763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0"/>
      <c r="B74" s="210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0"/>
      <c r="B75" s="210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0"/>
      <c r="B76" s="210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0"/>
      <c r="B77" s="210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0"/>
      <c r="B78" s="210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0"/>
      <c r="B79" s="210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0"/>
      <c r="B80" s="210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0"/>
      <c r="B81" s="210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0"/>
      <c r="B82" s="210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0"/>
      <c r="B83" s="210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0"/>
      <c r="B84" s="210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0"/>
      <c r="B85" s="210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0"/>
      <c r="B86" s="210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0"/>
      <c r="B87" s="210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0"/>
      <c r="B88" s="210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0"/>
      <c r="B89" s="210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0"/>
      <c r="B90" s="210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2018-12-03T19:47:38Z</dcterms:modified>
</cp:coreProperties>
</file>