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8800" windowHeight="120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521" i="1" l="1"/>
  <c r="F521" i="1"/>
  <c r="H521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29" i="1" s="1"/>
  <c r="L240" i="1"/>
  <c r="D39" i="13"/>
  <c r="F13" i="13"/>
  <c r="G13" i="13"/>
  <c r="L206" i="1"/>
  <c r="C122" i="2" s="1"/>
  <c r="L224" i="1"/>
  <c r="L242" i="1"/>
  <c r="F16" i="13"/>
  <c r="G16" i="13"/>
  <c r="L209" i="1"/>
  <c r="C125" i="2" s="1"/>
  <c r="L227" i="1"/>
  <c r="L245" i="1"/>
  <c r="F5" i="13"/>
  <c r="G5" i="13"/>
  <c r="L197" i="1"/>
  <c r="L198" i="1"/>
  <c r="L199" i="1"/>
  <c r="C111" i="2" s="1"/>
  <c r="L200" i="1"/>
  <c r="C13" i="10" s="1"/>
  <c r="L215" i="1"/>
  <c r="L216" i="1"/>
  <c r="L217" i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L203" i="1"/>
  <c r="C16" i="10" s="1"/>
  <c r="L221" i="1"/>
  <c r="L239" i="1"/>
  <c r="F12" i="13"/>
  <c r="G12" i="13"/>
  <c r="L205" i="1"/>
  <c r="L223" i="1"/>
  <c r="L241" i="1"/>
  <c r="F14" i="13"/>
  <c r="G14" i="13"/>
  <c r="L207" i="1"/>
  <c r="C123" i="2" s="1"/>
  <c r="L225" i="1"/>
  <c r="L243" i="1"/>
  <c r="F15" i="13"/>
  <c r="G15" i="13"/>
  <c r="L208" i="1"/>
  <c r="F662" i="1" s="1"/>
  <c r="L226" i="1"/>
  <c r="G662" i="1" s="1"/>
  <c r="L244" i="1"/>
  <c r="H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D29" i="13" s="1"/>
  <c r="C29" i="13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E118" i="2" s="1"/>
  <c r="L282" i="1"/>
  <c r="L283" i="1"/>
  <c r="L284" i="1"/>
  <c r="L285" i="1"/>
  <c r="E122" i="2" s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C32" i="10" s="1"/>
  <c r="L342" i="1"/>
  <c r="L255" i="1"/>
  <c r="L336" i="1"/>
  <c r="E130" i="2" s="1"/>
  <c r="C11" i="13"/>
  <c r="C10" i="13"/>
  <c r="C9" i="13"/>
  <c r="L361" i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D56" i="2" s="1"/>
  <c r="H60" i="1"/>
  <c r="I60" i="1"/>
  <c r="F79" i="1"/>
  <c r="C57" i="2" s="1"/>
  <c r="F94" i="1"/>
  <c r="F111" i="1"/>
  <c r="G111" i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D85" i="2" s="1"/>
  <c r="G162" i="1"/>
  <c r="H147" i="1"/>
  <c r="H162" i="1"/>
  <c r="H169" i="1" s="1"/>
  <c r="I147" i="1"/>
  <c r="I162" i="1"/>
  <c r="C12" i="10"/>
  <c r="L250" i="1"/>
  <c r="L332" i="1"/>
  <c r="L254" i="1"/>
  <c r="C25" i="10"/>
  <c r="L268" i="1"/>
  <c r="L269" i="1"/>
  <c r="L349" i="1"/>
  <c r="L350" i="1"/>
  <c r="E143" i="2" s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E56" i="2"/>
  <c r="F56" i="2"/>
  <c r="C58" i="2"/>
  <c r="E58" i="2"/>
  <c r="C59" i="2"/>
  <c r="D59" i="2"/>
  <c r="E59" i="2"/>
  <c r="F59" i="2"/>
  <c r="D60" i="2"/>
  <c r="D62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0" i="2"/>
  <c r="E111" i="2"/>
  <c r="E112" i="2"/>
  <c r="C113" i="2"/>
  <c r="E113" i="2"/>
  <c r="C114" i="2"/>
  <c r="E114" i="2"/>
  <c r="D115" i="2"/>
  <c r="F115" i="2"/>
  <c r="G115" i="2"/>
  <c r="C119" i="2"/>
  <c r="E119" i="2"/>
  <c r="E120" i="2"/>
  <c r="C121" i="2"/>
  <c r="E121" i="2"/>
  <c r="E123" i="2"/>
  <c r="E124" i="2"/>
  <c r="E125" i="2"/>
  <c r="F128" i="2"/>
  <c r="G128" i="2"/>
  <c r="C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H192" i="1" s="1"/>
  <c r="I183" i="1"/>
  <c r="J183" i="1"/>
  <c r="J192" i="1" s="1"/>
  <c r="F188" i="1"/>
  <c r="G188" i="1"/>
  <c r="H188" i="1"/>
  <c r="I188" i="1"/>
  <c r="F211" i="1"/>
  <c r="G211" i="1"/>
  <c r="G257" i="1" s="1"/>
  <c r="G271" i="1" s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 s="1"/>
  <c r="F352" i="1" s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L382" i="1" s="1"/>
  <c r="G636" i="1" s="1"/>
  <c r="J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I401" i="1"/>
  <c r="F407" i="1"/>
  <c r="G407" i="1"/>
  <c r="H407" i="1"/>
  <c r="I407" i="1"/>
  <c r="F408" i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J639" i="1" s="1"/>
  <c r="G446" i="1"/>
  <c r="H446" i="1"/>
  <c r="F452" i="1"/>
  <c r="G452" i="1"/>
  <c r="H452" i="1"/>
  <c r="I452" i="1"/>
  <c r="F460" i="1"/>
  <c r="G460" i="1"/>
  <c r="G461" i="1" s="1"/>
  <c r="H640" i="1" s="1"/>
  <c r="H460" i="1"/>
  <c r="I460" i="1"/>
  <c r="I461" i="1" s="1"/>
  <c r="H642" i="1" s="1"/>
  <c r="F461" i="1"/>
  <c r="H461" i="1"/>
  <c r="F470" i="1"/>
  <c r="G470" i="1"/>
  <c r="H470" i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G545" i="1" s="1"/>
  <c r="H524" i="1"/>
  <c r="H545" i="1" s="1"/>
  <c r="I524" i="1"/>
  <c r="I545" i="1" s="1"/>
  <c r="J524" i="1"/>
  <c r="J545" i="1" s="1"/>
  <c r="K524" i="1"/>
  <c r="K545" i="1" s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F571" i="1" s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9" i="1"/>
  <c r="G620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H639" i="1"/>
  <c r="G640" i="1"/>
  <c r="G641" i="1"/>
  <c r="H641" i="1"/>
  <c r="J641" i="1" s="1"/>
  <c r="G643" i="1"/>
  <c r="H643" i="1"/>
  <c r="J643" i="1" s="1"/>
  <c r="G644" i="1"/>
  <c r="G645" i="1"/>
  <c r="H647" i="1"/>
  <c r="G650" i="1"/>
  <c r="G652" i="1"/>
  <c r="H652" i="1"/>
  <c r="G653" i="1"/>
  <c r="H653" i="1"/>
  <c r="G654" i="1"/>
  <c r="H654" i="1"/>
  <c r="H655" i="1"/>
  <c r="F192" i="1"/>
  <c r="L256" i="1"/>
  <c r="G164" i="2"/>
  <c r="C26" i="10"/>
  <c r="L328" i="1"/>
  <c r="L351" i="1"/>
  <c r="A31" i="12"/>
  <c r="C70" i="2"/>
  <c r="D18" i="13"/>
  <c r="C18" i="13" s="1"/>
  <c r="D7" i="13"/>
  <c r="C7" i="13" s="1"/>
  <c r="D17" i="13"/>
  <c r="C17" i="13" s="1"/>
  <c r="C91" i="2"/>
  <c r="F78" i="2"/>
  <c r="F81" i="2" s="1"/>
  <c r="G157" i="2"/>
  <c r="G161" i="2"/>
  <c r="G156" i="2"/>
  <c r="E31" i="2"/>
  <c r="D19" i="13"/>
  <c r="C19" i="13" s="1"/>
  <c r="E78" i="2"/>
  <c r="E81" i="2" s="1"/>
  <c r="L427" i="1"/>
  <c r="H112" i="1"/>
  <c r="F112" i="1"/>
  <c r="J571" i="1"/>
  <c r="L419" i="1"/>
  <c r="D81" i="2"/>
  <c r="I169" i="1"/>
  <c r="I476" i="1"/>
  <c r="H625" i="1" s="1"/>
  <c r="J625" i="1" s="1"/>
  <c r="F169" i="1"/>
  <c r="J140" i="1"/>
  <c r="K550" i="1"/>
  <c r="G22" i="2"/>
  <c r="H552" i="1"/>
  <c r="C29" i="10"/>
  <c r="H140" i="1"/>
  <c r="L393" i="1"/>
  <c r="C138" i="2" s="1"/>
  <c r="F22" i="13"/>
  <c r="C22" i="13" s="1"/>
  <c r="H25" i="13"/>
  <c r="C25" i="13" s="1"/>
  <c r="H571" i="1"/>
  <c r="L560" i="1"/>
  <c r="G192" i="1"/>
  <c r="C35" i="10"/>
  <c r="L309" i="1"/>
  <c r="L570" i="1"/>
  <c r="I571" i="1"/>
  <c r="G36" i="2"/>
  <c r="L565" i="1"/>
  <c r="K551" i="1"/>
  <c r="H33" i="13"/>
  <c r="L539" i="1" l="1"/>
  <c r="A13" i="12"/>
  <c r="K257" i="1"/>
  <c r="K271" i="1" s="1"/>
  <c r="J257" i="1"/>
  <c r="J271" i="1" s="1"/>
  <c r="F257" i="1"/>
  <c r="F271" i="1" s="1"/>
  <c r="I257" i="1"/>
  <c r="I271" i="1" s="1"/>
  <c r="E8" i="13"/>
  <c r="C8" i="13" s="1"/>
  <c r="G651" i="1"/>
  <c r="J651" i="1" s="1"/>
  <c r="I662" i="1"/>
  <c r="L247" i="1"/>
  <c r="H660" i="1" s="1"/>
  <c r="G624" i="1"/>
  <c r="G476" i="1"/>
  <c r="H623" i="1" s="1"/>
  <c r="J623" i="1" s="1"/>
  <c r="D18" i="2"/>
  <c r="C18" i="2"/>
  <c r="J617" i="1"/>
  <c r="H476" i="1"/>
  <c r="H624" i="1" s="1"/>
  <c r="J624" i="1" s="1"/>
  <c r="L290" i="1"/>
  <c r="L338" i="1" s="1"/>
  <c r="L352" i="1" s="1"/>
  <c r="G633" i="1" s="1"/>
  <c r="J633" i="1" s="1"/>
  <c r="F476" i="1"/>
  <c r="H622" i="1" s="1"/>
  <c r="J622" i="1" s="1"/>
  <c r="D91" i="2"/>
  <c r="J640" i="1"/>
  <c r="J655" i="1"/>
  <c r="J645" i="1"/>
  <c r="J644" i="1"/>
  <c r="I446" i="1"/>
  <c r="G642" i="1" s="1"/>
  <c r="L529" i="1"/>
  <c r="K549" i="1"/>
  <c r="C112" i="2"/>
  <c r="D12" i="13"/>
  <c r="C12" i="13" s="1"/>
  <c r="E16" i="13"/>
  <c r="C16" i="13" s="1"/>
  <c r="K598" i="1"/>
  <c r="G647" i="1" s="1"/>
  <c r="J647" i="1" s="1"/>
  <c r="K571" i="1"/>
  <c r="I369" i="1"/>
  <c r="H634" i="1" s="1"/>
  <c r="J634" i="1"/>
  <c r="G661" i="1"/>
  <c r="H661" i="1"/>
  <c r="L362" i="1"/>
  <c r="C27" i="10" s="1"/>
  <c r="D127" i="2"/>
  <c r="D128" i="2" s="1"/>
  <c r="D145" i="2" s="1"/>
  <c r="C17" i="10"/>
  <c r="C120" i="2"/>
  <c r="C21" i="10"/>
  <c r="D14" i="13"/>
  <c r="C14" i="13" s="1"/>
  <c r="C20" i="10"/>
  <c r="C18" i="10"/>
  <c r="H257" i="1"/>
  <c r="H271" i="1" s="1"/>
  <c r="C11" i="10"/>
  <c r="D5" i="13"/>
  <c r="C5" i="13" s="1"/>
  <c r="C115" i="2"/>
  <c r="C10" i="10"/>
  <c r="E128" i="2"/>
  <c r="D63" i="2"/>
  <c r="C78" i="2"/>
  <c r="C81" i="2" s="1"/>
  <c r="L211" i="1"/>
  <c r="E109" i="2"/>
  <c r="E115" i="2" s="1"/>
  <c r="G81" i="2"/>
  <c r="C62" i="2"/>
  <c r="C63" i="2" s="1"/>
  <c r="F661" i="1"/>
  <c r="C19" i="10"/>
  <c r="C15" i="10"/>
  <c r="G112" i="1"/>
  <c r="E13" i="13"/>
  <c r="C13" i="13" s="1"/>
  <c r="D6" i="13"/>
  <c r="C6" i="13" s="1"/>
  <c r="D15" i="13"/>
  <c r="C15" i="13" s="1"/>
  <c r="G649" i="1"/>
  <c r="J649" i="1" s="1"/>
  <c r="L544" i="1"/>
  <c r="L524" i="1"/>
  <c r="J338" i="1"/>
  <c r="J352" i="1" s="1"/>
  <c r="C124" i="2"/>
  <c r="K552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G18" i="2"/>
  <c r="F545" i="1"/>
  <c r="H434" i="1"/>
  <c r="J620" i="1"/>
  <c r="J619" i="1"/>
  <c r="D103" i="2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E104" i="2"/>
  <c r="I663" i="1"/>
  <c r="L257" i="1" l="1"/>
  <c r="L271" i="1" s="1"/>
  <c r="G632" i="1" s="1"/>
  <c r="J632" i="1" s="1"/>
  <c r="D104" i="2"/>
  <c r="E145" i="2"/>
  <c r="C104" i="2"/>
  <c r="G635" i="1"/>
  <c r="J635" i="1" s="1"/>
  <c r="I661" i="1"/>
  <c r="H664" i="1"/>
  <c r="H667" i="1" s="1"/>
  <c r="C128" i="2"/>
  <c r="C145" i="2" s="1"/>
  <c r="G672" i="1"/>
  <c r="C5" i="10" s="1"/>
  <c r="F660" i="1"/>
  <c r="F664" i="1" s="1"/>
  <c r="F672" i="1" s="1"/>
  <c r="C4" i="10" s="1"/>
  <c r="C28" i="10"/>
  <c r="D24" i="10" s="1"/>
  <c r="D31" i="13"/>
  <c r="C31" i="13" s="1"/>
  <c r="G104" i="2"/>
  <c r="E33" i="13"/>
  <c r="D35" i="13" s="1"/>
  <c r="L545" i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H672" i="1" l="1"/>
  <c r="C6" i="10" s="1"/>
  <c r="I660" i="1"/>
  <c r="I664" i="1" s="1"/>
  <c r="I672" i="1" s="1"/>
  <c r="C7" i="10" s="1"/>
  <c r="D26" i="10"/>
  <c r="C30" i="10"/>
  <c r="F667" i="1"/>
  <c r="D16" i="10"/>
  <c r="D10" i="10"/>
  <c r="D23" i="10"/>
  <c r="D20" i="10"/>
  <c r="D19" i="10"/>
  <c r="D13" i="10"/>
  <c r="D11" i="10"/>
  <c r="D21" i="10"/>
  <c r="D22" i="10"/>
  <c r="D15" i="10"/>
  <c r="D25" i="10"/>
  <c r="D27" i="10"/>
  <c r="D18" i="10"/>
  <c r="D17" i="10"/>
  <c r="D12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<sst xmlns="http://schemas.openxmlformats.org/spreadsheetml/2006/main" count="3957" uniqueCount="913">
  <si>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</si>
  <si>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</si>
  <si>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</si>
  <si>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</si>
  <si>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</si>
  <si>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</si>
  <si>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</si>
  <si>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</si>
  <si>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</si>
  <si>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</si>
  <si>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</si>
  <si>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</si>
  <si>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</si>
  <si>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</si>
  <si>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</si>
  <si>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</si>
  <si>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</si>
  <si>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</si>
  <si>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</si>
  <si>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</si>
  <si>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</si>
  <si>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</si>
  <si>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</si>
  <si>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</si>
  <si>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</si>
  <si>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</si>
  <si>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</si>
  <si>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</si>
  <si>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</si>
  <si>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</si>
  <si>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</si>
  <si>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</si>
  <si>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</si>
  <si>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</si>
  <si>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</si>
  <si>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</si>
  <si>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</si>
  <si>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</si>
  <si>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</si>
  <si>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</si>
  <si>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</si>
  <si>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</si>
  <si>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</si>
  <si>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</si>
  <si>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</si>
  <si>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</si>
  <si>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</si>
  <si>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</si>
  <si>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</si>
  <si>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</si>
  <si>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</si>
  <si>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</si>
  <si>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</si>
  <si>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</si>
  <si>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</si>
  <si>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</si>
  <si>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</si>
  <si>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</si>
  <si>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</si>
  <si>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</si>
  <si>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</si>
  <si>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</si>
  <si>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</si>
  <si>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</si>
  <si>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</si>
  <si>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</si>
  <si>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</si>
  <si>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</si>
  <si>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</si>
  <si>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</si>
  <si>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</si>
  <si>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</si>
  <si>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</si>
  <si>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</si>
  <si>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</si>
  <si>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</si>
  <si>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</si>
  <si>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</si>
  <si>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</si>
  <si>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</si>
  <si>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</si>
  <si>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</si>
  <si>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</si>
  <si>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</si>
  <si>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</si>
  <si>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</si>
  <si>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</si>
  <si>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</si>
  <si>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</si>
  <si>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</si>
  <si>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</si>
  <si>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</si>
  <si>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</si>
  <si>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</si>
  <si>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</si>
  <si>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</si>
  <si>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</si>
  <si>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</si>
  <si>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</si>
  <si>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</si>
  <si>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</si>
  <si>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</si>
  <si>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</si>
  <si>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</si>
  <si>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</si>
  <si>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</si>
  <si>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</si>
  <si>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</si>
  <si>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</si>
  <si>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</si>
  <si>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</si>
  <si>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</si>
  <si>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</si>
  <si>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</si>
  <si>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</si>
  <si>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</si>
  <si>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</si>
  <si>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</si>
  <si>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</si>
  <si>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</si>
  <si>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</si>
  <si>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</si>
  <si>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</si>
  <si>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</si>
  <si>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</si>
  <si>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</si>
  <si>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</si>
  <si>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</si>
  <si>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</si>
  <si>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</si>
  <si>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</si>
  <si>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</si>
  <si>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</si>
  <si>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</si>
  <si>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</si>
  <si>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</si>
  <si>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</si>
  <si>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</si>
  <si>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</si>
  <si>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</si>
  <si>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</si>
  <si>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</si>
  <si>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</si>
  <si>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</si>
  <si>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</si>
  <si>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</si>
  <si>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</si>
  <si>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</si>
  <si>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</si>
  <si>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</si>
  <si>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</si>
  <si>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</si>
  <si>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</si>
  <si>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</si>
  <si>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</si>
  <si>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</si>
  <si>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</si>
  <si>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</si>
  <si>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</si>
  <si>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</si>
  <si>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</si>
  <si>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</si>
  <si>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</si>
  <si>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</si>
  <si>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</si>
  <si>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</si>
  <si>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</si>
  <si>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</si>
  <si>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</si>
  <si>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</si>
  <si>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</si>
  <si>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</si>
  <si>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</si>
  <si>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</si>
  <si>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</si>
  <si>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</si>
  <si>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</si>
  <si>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</si>
  <si>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</si>
  <si>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</si>
  <si>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</si>
  <si>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</si>
  <si>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</si>
  <si>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</si>
  <si>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</si>
  <si>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</si>
  <si>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</si>
  <si>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</si>
  <si>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</si>
  <si>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</si>
  <si>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</si>
  <si>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</si>
  <si>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</si>
  <si>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</si>
  <si>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</si>
  <si>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</si>
  <si>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</si>
  <si>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</si>
  <si>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</si>
  <si>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</si>
  <si>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</si>
  <si>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</si>
  <si>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</si>
  <si>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</si>
  <si>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</si>
  <si>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</si>
  <si>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</si>
  <si>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</si>
  <si>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</si>
  <si>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</si>
  <si>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</si>
  <si>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</si>
  <si>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</si>
  <si>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</si>
  <si>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</si>
  <si>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</si>
  <si>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</si>
  <si>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</si>
  <si>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</si>
  <si>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</si>
  <si>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</si>
  <si>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</si>
  <si>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</si>
  <si>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</si>
  <si>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</si>
  <si>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</si>
  <si>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</si>
  <si>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</si>
  <si>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</si>
  <si>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</si>
  <si>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</si>
  <si>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</si>
  <si>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</si>
  <si>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</si>
  <si>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</si>
  <si>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</si>
  <si>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</si>
  <si>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</si>
  <si>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</si>
  <si>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</si>
  <si>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</si>
  <si>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</si>
  <si>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</si>
  <si>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</si>
  <si>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</si>
  <si>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</si>
  <si>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</si>
  <si>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</si>
  <si>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</si>
  <si>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</si>
  <si>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</si>
  <si>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</si>
  <si>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</si>
  <si>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</si>
  <si>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</si>
  <si>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</si>
  <si>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</si>
  <si>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</si>
  <si>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</si>
  <si>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</si>
  <si>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</si>
  <si>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</si>
  <si>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</si>
  <si>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</si>
  <si>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</si>
  <si>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</si>
  <si>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</si>
  <si>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</si>
  <si>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</si>
  <si>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</si>
  <si>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</si>
  <si>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</si>
  <si>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</si>
  <si>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</si>
  <si>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</si>
  <si>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</si>
  <si>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</si>
  <si>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</si>
  <si>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</si>
  <si>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</si>
  <si>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</si>
  <si>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</si>
  <si>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</si>
  <si>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</si>
  <si>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</si>
  <si>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</si>
  <si>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</si>
  <si>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</si>
  <si>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</si>
  <si>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</si>
  <si>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</si>
  <si>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</si>
  <si>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</si>
  <si>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</si>
  <si>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</si>
  <si>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</si>
  <si>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</si>
  <si>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</si>
  <si>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</si>
  <si>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</si>
  <si>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</si>
  <si>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</si>
  <si>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</si>
  <si>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</si>
  <si>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</si>
  <si>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</si>
  <si>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</si>
  <si>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</si>
  <si>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</si>
  <si>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</si>
  <si>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</si>
  <si>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</si>
  <si>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</si>
  <si>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</si>
  <si>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</si>
  <si>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</si>
  <si>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</si>
  <si>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</si>
  <si>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</si>
  <si>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</si>
  <si>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</si>
  <si>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</si>
  <si>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</si>
  <si>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</si>
  <si>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</si>
  <si>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</si>
  <si>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</si>
  <si>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</si>
  <si>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</si>
  <si>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</si>
  <si>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</si>
  <si>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</si>
  <si>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</si>
  <si>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</si>
  <si>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</si>
  <si>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</si>
  <si>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</si>
  <si>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</si>
  <si>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</si>
  <si>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</si>
  <si>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</si>
  <si>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</si>
  <si>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</si>
  <si>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</si>
  <si>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</si>
  <si>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</si>
  <si>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</si>
  <si>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</si>
  <si>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</si>
  <si>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</si>
  <si>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</si>
  <si>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</si>
  <si>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</si>
  <si>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</si>
  <si>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</si>
  <si>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</si>
  <si>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</si>
  <si>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</si>
  <si>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</si>
  <si>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</si>
  <si>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</si>
  <si>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</si>
  <si>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</si>
  <si>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</si>
  <si>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</si>
  <si>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</si>
  <si>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</si>
  <si>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</si>
  <si>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</si>
  <si>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</si>
  <si>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</si>
  <si>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</si>
  <si>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</si>
  <si>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</si>
  <si>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</si>
  <si>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</si>
  <si>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</si>
  <si>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</si>
  <si>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</si>
  <si>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</si>
  <si>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</si>
  <si>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</si>
  <si>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</si>
  <si>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</si>
  <si>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</si>
  <si>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</si>
  <si>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</si>
  <si>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</si>
  <si>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</si>
  <si>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</si>
  <si>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</si>
  <si>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</si>
  <si>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</si>
  <si>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</si>
  <si>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</si>
  <si>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</si>
  <si>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</si>
  <si>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</si>
  <si>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</si>
  <si>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</si>
  <si>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</si>
  <si>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</si>
  <si>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</si>
  <si>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</si>
  <si>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</si>
  <si>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</si>
  <si>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</si>
  <si>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</si>
  <si>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</si>
  <si>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</si>
  <si>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</si>
  <si>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</si>
  <si>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</si>
  <si>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</si>
  <si>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</si>
  <si>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</si>
  <si>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</si>
  <si>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</si>
  <si>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</si>
  <si>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</si>
  <si>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</si>
  <si>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</si>
  <si>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</si>
  <si>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</si>
  <si>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</si>
  <si>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</si>
  <si>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</si>
  <si>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</si>
  <si>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</si>
  <si>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</si>
  <si>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</si>
  <si>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</si>
  <si>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</si>
  <si>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</si>
  <si>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</si>
  <si>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</si>
  <si>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</si>
  <si>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</si>
  <si>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</si>
  <si>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</si>
  <si>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</si>
  <si>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</si>
  <si>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</si>
  <si>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</si>
  <si>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</si>
  <si>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</si>
  <si>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</si>
  <si>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</si>
  <si>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</si>
  <si>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</si>
  <si>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</si>
  <si>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</si>
  <si>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</si>
  <si>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</si>
  <si>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</si>
  <si>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</si>
  <si>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</si>
  <si>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</si>
  <si>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</si>
  <si>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</si>
  <si>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</si>
  <si>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</si>
  <si>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</si>
  <si>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</si>
  <si>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</si>
  <si>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</si>
  <si>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</si>
  <si>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</si>
  <si>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</si>
  <si>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</si>
  <si>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</si>
  <si>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</si>
  <si>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</si>
  <si>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</si>
  <si>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</si>
  <si>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</si>
  <si>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</si>
  <si>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</si>
  <si>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</si>
  <si>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</si>
  <si>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</si>
  <si>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</si>
  <si>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</si>
  <si>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</si>
  <si>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</si>
  <si>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</si>
  <si>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</si>
  <si>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</si>
  <si>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</si>
  <si>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</si>
  <si>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</si>
  <si>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</si>
  <si>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</si>
  <si>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</si>
  <si>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</si>
  <si>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</si>
  <si>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</si>
  <si>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</si>
  <si>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</si>
  <si>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</si>
  <si>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</si>
  <si>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</si>
  <si>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</si>
  <si>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</si>
  <si>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</si>
  <si>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</si>
  <si>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</si>
  <si>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</si>
  <si>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</si>
  <si>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</si>
  <si>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</si>
  <si>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</si>
  <si>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</si>
  <si>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</si>
  <si>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</si>
  <si>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</si>
  <si>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</si>
  <si>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</si>
  <si>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</si>
  <si>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</si>
  <si>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</si>
  <si>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</si>
  <si>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</si>
  <si>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</si>
  <si>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</si>
  <si>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</si>
  <si>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</si>
  <si>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</si>
  <si>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</si>
  <si>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</si>
  <si>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</si>
  <si>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</si>
  <si>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</si>
  <si>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</si>
  <si>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</si>
  <si>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</si>
  <si>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</si>
  <si>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</si>
  <si>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</si>
  <si>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</si>
  <si>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</si>
  <si>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</si>
  <si>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</si>
  <si>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</si>
  <si>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</si>
  <si>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</si>
  <si>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</si>
  <si>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</si>
  <si>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</si>
  <si>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</si>
  <si>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</si>
  <si>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</si>
  <si>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</si>
  <si>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</si>
  <si>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</si>
  <si>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</si>
  <si>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</si>
  <si>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</si>
  <si>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</si>
  <si>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</si>
  <si>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</si>
  <si>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</si>
  <si>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</si>
  <si>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</si>
  <si>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</si>
  <si>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</si>
  <si>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</si>
  <si>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</si>
  <si>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</si>
  <si>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</si>
  <si>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</si>
  <si>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</si>
  <si>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</si>
  <si>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</si>
  <si>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</si>
  <si>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</si>
  <si>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</si>
  <si>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</si>
  <si>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</si>
  <si>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</si>
  <si>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</si>
  <si>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</si>
  <si>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</si>
  <si>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</si>
  <si>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</si>
  <si>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</si>
  <si>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</si>
  <si>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</si>
  <si>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</si>
  <si>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</si>
  <si>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</si>
  <si>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</si>
  <si>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</si>
  <si>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</si>
  <si>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</si>
  <si>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</si>
  <si>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</si>
  <si>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</si>
  <si>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</si>
  <si>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</si>
  <si>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</si>
  <si>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</si>
  <si>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</si>
  <si>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</si>
  <si>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</si>
  <si>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</si>
  <si>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</si>
  <si>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</si>
  <si>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</si>
  <si>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</si>
  <si>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</si>
  <si>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</si>
  <si>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</si>
  <si>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</si>
  <si>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</si>
  <si>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</si>
  <si>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</si>
  <si>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</si>
  <si>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</si>
  <si>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</si>
  <si>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</si>
  <si>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</si>
  <si>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</si>
  <si>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</si>
  <si>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</si>
  <si>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</si>
  <si>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</si>
  <si>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</si>
  <si>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</si>
  <si>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</si>
  <si>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</si>
  <si>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</si>
  <si>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</si>
  <si>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</si>
  <si>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</si>
  <si>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</si>
  <si>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</si>
  <si>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</si>
  <si>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</si>
  <si>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</si>
  <si>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</si>
  <si>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</si>
  <si>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</si>
  <si>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</si>
  <si>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</si>
  <si>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</si>
  <si>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</si>
  <si>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</si>
  <si>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</si>
  <si>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</si>
  <si>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</si>
  <si>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</si>
  <si>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</si>
  <si>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</si>
  <si>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</si>
  <si>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</si>
  <si>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</si>
  <si>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</si>
  <si>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</si>
  <si>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</si>
  <si>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</si>
  <si>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</si>
  <si>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</si>
  <si>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</si>
  <si>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</si>
  <si>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</si>
  <si>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</si>
  <si>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</si>
  <si>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</si>
  <si>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</si>
  <si>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</si>
  <si>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</si>
  <si>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</si>
  <si>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</si>
  <si>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</si>
  <si>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</si>
  <si>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</si>
  <si>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</si>
  <si>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</si>
  <si>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</si>
  <si>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</si>
  <si>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</si>
  <si>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</si>
  <si>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</si>
  <si>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</si>
  <si>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</si>
  <si>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</si>
  <si>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</si>
  <si>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</si>
  <si>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</si>
  <si>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</si>
  <si>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</si>
  <si>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</si>
  <si>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</si>
  <si>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</si>
  <si>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</si>
  <si>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</si>
  <si>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</si>
  <si>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</si>
  <si>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</si>
  <si>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</si>
  <si>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</si>
  <si>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</si>
  <si>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</si>
  <si>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</si>
  <si>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</si>
  <si>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</si>
  <si>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</si>
  <si>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</si>
  <si>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</si>
  <si>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</si>
  <si>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</si>
  <si>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</si>
  <si>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</si>
  <si>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</si>
  <si>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</si>
  <si>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</si>
  <si>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</si>
  <si>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</si>
  <si>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</si>
  <si>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</si>
  <si>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</si>
  <si>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</si>
  <si>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</si>
  <si>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</si>
  <si>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</si>
  <si>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</si>
  <si>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</si>
  <si>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</si>
  <si>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</si>
  <si>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</si>
  <si>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</si>
  <si>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</si>
  <si>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</si>
  <si>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</si>
  <si>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</si>
  <si>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</si>
  <si>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</si>
  <si>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</si>
  <si>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</si>
  <si>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</si>
  <si>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</si>
  <si>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</si>
  <si>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</si>
  <si>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</si>
  <si>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</si>
  <si>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</si>
  <si>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</si>
  <si>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</si>
  <si>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</si>
  <si>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</si>
  <si>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</si>
  <si>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</si>
  <si>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</si>
  <si>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</si>
  <si>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</si>
  <si>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</si>
  <si>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</si>
  <si>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</si>
  <si>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</si>
  <si>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</si>
  <si>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</si>
  <si>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</si>
  <si>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</si>
  <si>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</si>
  <si>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</si>
  <si>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</si>
  <si>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</si>
  <si>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</si>
  <si>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</si>
  <si>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</si>
  <si>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</si>
  <si>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</si>
  <si>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</si>
  <si>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</si>
  <si>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</si>
  <si>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</si>
  <si>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</si>
  <si>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</si>
  <si>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</si>
  <si>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</si>
  <si>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</si>
  <si>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</si>
  <si>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</si>
  <si>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</si>
  <si>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</si>
  <si>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</si>
  <si>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</si>
  <si>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</si>
  <si>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</si>
  <si>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</si>
  <si>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</si>
  <si>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</si>
  <si>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</si>
  <si>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</si>
  <si>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</si>
  <si>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</si>
  <si>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</si>
  <si>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</si>
  <si>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</si>
  <si>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</si>
  <si>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</si>
  <si>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</si>
  <si>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</si>
  <si>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</si>
  <si>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</si>
  <si>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</si>
  <si>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</si>
  <si>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</si>
  <si>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</si>
  <si>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</si>
  <si>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</si>
  <si>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</si>
  <si>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</si>
  <si>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</si>
  <si>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</si>
  <si>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</si>
  <si>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</si>
  <si>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</si>
  <si>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</si>
  <si>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</si>
  <si>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</si>
  <si>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</si>
  <si>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</si>
  <si>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</si>
  <si>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</si>
  <si>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</si>
  <si>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</si>
  <si>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</si>
  <si>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</si>
  <si>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</si>
  <si>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</si>
  <si>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</si>
  <si>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</si>
  <si>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</si>
  <si>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</si>
  <si>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</si>
  <si>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</si>
  <si>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</si>
  <si>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</si>
  <si>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</si>
  <si>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</si>
  <si>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</si>
  <si>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</si>
  <si>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</si>
  <si>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</si>
  <si>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</si>
  <si>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</si>
  <si>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</si>
  <si>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</si>
  <si>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</si>
  <si>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</si>
  <si>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</si>
  <si>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</si>
  <si>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</si>
  <si>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</si>
  <si>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</si>
  <si>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</si>
  <si>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</si>
  <si>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</si>
  <si>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</si>
  <si>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</si>
  <si>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</si>
  <si>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</si>
  <si>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</si>
  <si>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</si>
  <si>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</si>
  <si>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</si>
  <si>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</si>
  <si>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</si>
  <si>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</si>
  <si>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</si>
  <si>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</si>
  <si>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</si>
  <si>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</si>
  <si>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</si>
  <si>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</si>
  <si>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</si>
  <si>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</si>
  <si>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</si>
  <si>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</si>
  <si>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</si>
  <si>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</si>
  <si>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</si>
  <si>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</si>
  <si>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</si>
  <si>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</si>
  <si>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</si>
  <si>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</si>
  <si>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</si>
  <si>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</si>
  <si>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</si>
  <si>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</si>
  <si>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</si>
  <si>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</si>
  <si>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</si>
  <si>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</si>
  <si>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</si>
  <si>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</si>
  <si>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</si>
  <si>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</si>
  <si>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</si>
  <si>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</si>
  <si>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</si>
  <si>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</si>
  <si>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</si>
  <si>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</si>
  <si>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</si>
  <si>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</si>
  <si>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</si>
  <si>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</si>
  <si>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</si>
  <si>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Newington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</si>
</sst>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1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391</v>
      </c>
      <c r="C2" s="21">
        <v>391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189536.65</v>
      </c>
      <c r="G9" s="18"/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155800.51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214.75</v>
      </c>
      <c r="G12" s="18"/>
      <c r="H12" s="18">
        <v>4210.24</v>
      </c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19.54</v>
      </c>
      <c r="G13" s="18">
        <v>214.75</v>
      </c>
      <c r="H13" s="18"/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189770.94</v>
      </c>
      <c r="G19" s="41">
        <f>SUM(G9:G18)</f>
        <v>214.75</v>
      </c>
      <c r="H19" s="41">
        <f>SUM(H9:H18)</f>
        <v>4210.24</v>
      </c>
      <c r="I19" s="41">
        <f>SUM(I9:I18)</f>
        <v>0</v>
      </c>
      <c r="J19" s="41">
        <f>SUM(J9:J18)</f>
        <v>155800.51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4210.24</v>
      </c>
      <c r="G22" s="18">
        <v>214.75</v>
      </c>
      <c r="H22" s="18"/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4210.24</v>
      </c>
      <c r="G32" s="41">
        <f>SUM(G22:G31)</f>
        <v>214.75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67350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>
        <v>4210.24</v>
      </c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44502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>
        <v>18094.39</v>
      </c>
      <c r="G48" s="18"/>
      <c r="H48" s="18"/>
      <c r="I48" s="18"/>
      <c r="J48" s="13">
        <f>SUM(I459)</f>
        <v>155800.51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33147.57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22466.74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185560.69999999998</v>
      </c>
      <c r="G51" s="41">
        <f>SUM(G35:G50)</f>
        <v>0</v>
      </c>
      <c r="H51" s="41">
        <f>SUM(H35:H50)</f>
        <v>4210.24</v>
      </c>
      <c r="I51" s="41">
        <f>SUM(I35:I50)</f>
        <v>0</v>
      </c>
      <c r="J51" s="41">
        <f>SUM(J35:J50)</f>
        <v>155800.51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189770.93999999997</v>
      </c>
      <c r="G52" s="41">
        <f>G51+G32</f>
        <v>214.75</v>
      </c>
      <c r="H52" s="41">
        <f>H51+H32</f>
        <v>4210.24</v>
      </c>
      <c r="I52" s="41">
        <f>I51+I32</f>
        <v>0</v>
      </c>
      <c r="J52" s="41">
        <f>J51+J32</f>
        <v>155800.51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426106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426106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71190.2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71190.2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8.08</v>
      </c>
      <c r="G96" s="18"/>
      <c r="H96" s="18"/>
      <c r="I96" s="18"/>
      <c r="J96" s="18">
        <v>858.9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17050.45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>
        <v>13312.8</v>
      </c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41406.57</v>
      </c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376.09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55103.539999999994</v>
      </c>
      <c r="G111" s="41">
        <f>SUM(G96:G110)</f>
        <v>17050.45</v>
      </c>
      <c r="H111" s="41">
        <f>SUM(H96:H110)</f>
        <v>0</v>
      </c>
      <c r="I111" s="41">
        <f>SUM(I96:I110)</f>
        <v>0</v>
      </c>
      <c r="J111" s="41">
        <f>SUM(J96:J110)</f>
        <v>858.9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552399.74</v>
      </c>
      <c r="G112" s="41">
        <f>G60+G111</f>
        <v>17050.45</v>
      </c>
      <c r="H112" s="41">
        <f>H60+H79+H94+H111</f>
        <v>0</v>
      </c>
      <c r="I112" s="41">
        <f>I60+I111</f>
        <v>0</v>
      </c>
      <c r="J112" s="41">
        <f>J60+J111</f>
        <v>858.9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/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1353962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/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1353962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/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1353962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/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8075.02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3167.08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643.29999999999995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643.29999999999995</v>
      </c>
      <c r="G162" s="41">
        <f>SUM(G150:G161)</f>
        <v>3167.08</v>
      </c>
      <c r="H162" s="41">
        <f>SUM(H150:H161)</f>
        <v>8075.02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643.29999999999995</v>
      </c>
      <c r="G169" s="41">
        <f>G147+G162+SUM(G163:G168)</f>
        <v>3167.08</v>
      </c>
      <c r="H169" s="41">
        <f>H147+H162+SUM(H163:H168)</f>
        <v>8075.02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10178.6</v>
      </c>
      <c r="H179" s="18"/>
      <c r="I179" s="18"/>
      <c r="J179" s="18">
        <v>65000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10178.6</v>
      </c>
      <c r="H183" s="41">
        <f>SUM(H179:H182)</f>
        <v>0</v>
      </c>
      <c r="I183" s="41">
        <f>SUM(I179:I182)</f>
        <v>0</v>
      </c>
      <c r="J183" s="41">
        <f>SUM(J179:J182)</f>
        <v>65000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10178.6</v>
      </c>
      <c r="H192" s="41">
        <f>+H183+SUM(H188:H191)</f>
        <v>0</v>
      </c>
      <c r="I192" s="41">
        <f>I177+I183+SUM(I188:I191)</f>
        <v>0</v>
      </c>
      <c r="J192" s="41">
        <f>J183</f>
        <v>65000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1907005.04</v>
      </c>
      <c r="G193" s="47">
        <f>G112+G140+G169+G192</f>
        <v>30396.129999999997</v>
      </c>
      <c r="H193" s="47">
        <f>H112+H140+H169+H192</f>
        <v>8075.02</v>
      </c>
      <c r="I193" s="47">
        <f>I112+I140+I169+I192</f>
        <v>0</v>
      </c>
      <c r="J193" s="47">
        <f>J112+J140+J192</f>
        <v>65858.899999999994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332397.26</v>
      </c>
      <c r="G197" s="18">
        <v>173904.4</v>
      </c>
      <c r="H197" s="18">
        <v>2153.69</v>
      </c>
      <c r="I197" s="18">
        <v>10396.35</v>
      </c>
      <c r="J197" s="18">
        <v>1681.73</v>
      </c>
      <c r="K197" s="18"/>
      <c r="L197" s="19">
        <f>SUM(F197:K197)</f>
        <v>520533.43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121576.13</v>
      </c>
      <c r="G198" s="18">
        <v>63576.87</v>
      </c>
      <c r="H198" s="18">
        <v>52102.57</v>
      </c>
      <c r="I198" s="18">
        <v>158.46</v>
      </c>
      <c r="J198" s="18"/>
      <c r="K198" s="18">
        <v>370</v>
      </c>
      <c r="L198" s="19">
        <f>SUM(F198:K198)</f>
        <v>237784.03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10263.61</v>
      </c>
      <c r="G200" s="18">
        <v>806.19</v>
      </c>
      <c r="H200" s="18">
        <v>6062.47</v>
      </c>
      <c r="I200" s="18">
        <v>210.35</v>
      </c>
      <c r="J200" s="18"/>
      <c r="K200" s="18"/>
      <c r="L200" s="19">
        <f>SUM(F200:K200)</f>
        <v>17342.62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37028.1</v>
      </c>
      <c r="G202" s="18">
        <v>19363.43</v>
      </c>
      <c r="H202" s="18">
        <v>20346.5</v>
      </c>
      <c r="I202" s="18">
        <v>132.30000000000001</v>
      </c>
      <c r="J202" s="18"/>
      <c r="K202" s="18"/>
      <c r="L202" s="19">
        <f t="shared" ref="L202:L208" si="0">SUM(F202:K202)</f>
        <v>76870.33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7525.95</v>
      </c>
      <c r="G203" s="18">
        <v>9175.36</v>
      </c>
      <c r="H203" s="18">
        <v>12842.81</v>
      </c>
      <c r="I203" s="18">
        <v>1308.8</v>
      </c>
      <c r="J203" s="18">
        <v>361.51</v>
      </c>
      <c r="K203" s="18">
        <v>790</v>
      </c>
      <c r="L203" s="19">
        <f t="shared" si="0"/>
        <v>32004.43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9280</v>
      </c>
      <c r="G204" s="18">
        <v>796.93</v>
      </c>
      <c r="H204" s="18">
        <v>162054.37</v>
      </c>
      <c r="I204" s="18">
        <v>83.2</v>
      </c>
      <c r="J204" s="18"/>
      <c r="K204" s="18">
        <v>3676.05</v>
      </c>
      <c r="L204" s="19">
        <f t="shared" si="0"/>
        <v>175890.55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116088.09</v>
      </c>
      <c r="G205" s="18">
        <v>60706.96</v>
      </c>
      <c r="H205" s="18">
        <v>4065.93</v>
      </c>
      <c r="I205" s="18">
        <v>1375.97</v>
      </c>
      <c r="J205" s="18"/>
      <c r="K205" s="18">
        <v>785</v>
      </c>
      <c r="L205" s="19">
        <f t="shared" si="0"/>
        <v>183021.94999999998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>
        <v>480.18</v>
      </c>
      <c r="L206" s="19">
        <f t="shared" si="0"/>
        <v>480.18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25577.56</v>
      </c>
      <c r="G207" s="18">
        <v>13375.5</v>
      </c>
      <c r="H207" s="18">
        <v>22286.34</v>
      </c>
      <c r="I207" s="18">
        <v>26163.91</v>
      </c>
      <c r="J207" s="18"/>
      <c r="K207" s="18"/>
      <c r="L207" s="19">
        <f t="shared" si="0"/>
        <v>87403.31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68130.350000000006</v>
      </c>
      <c r="I208" s="18"/>
      <c r="J208" s="18"/>
      <c r="K208" s="18"/>
      <c r="L208" s="19">
        <f t="shared" si="0"/>
        <v>68130.350000000006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>
        <v>2850.52</v>
      </c>
      <c r="I209" s="18"/>
      <c r="J209" s="18">
        <v>6419</v>
      </c>
      <c r="K209" s="18"/>
      <c r="L209" s="19">
        <f>SUM(F209:K209)</f>
        <v>9269.52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659736.70000000007</v>
      </c>
      <c r="G211" s="41">
        <f t="shared" si="1"/>
        <v>341705.64</v>
      </c>
      <c r="H211" s="41">
        <f t="shared" si="1"/>
        <v>352895.55000000005</v>
      </c>
      <c r="I211" s="41">
        <f t="shared" si="1"/>
        <v>39829.339999999997</v>
      </c>
      <c r="J211" s="41">
        <f t="shared" si="1"/>
        <v>8462.24</v>
      </c>
      <c r="K211" s="41">
        <f t="shared" si="1"/>
        <v>6101.2300000000005</v>
      </c>
      <c r="L211" s="41">
        <f t="shared" si="1"/>
        <v>1408730.7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>
        <v>139096</v>
      </c>
      <c r="I215" s="18"/>
      <c r="J215" s="18"/>
      <c r="K215" s="18"/>
      <c r="L215" s="19">
        <f>SUM(F215:K215)</f>
        <v>139096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1160</v>
      </c>
      <c r="G222" s="18">
        <v>99.62</v>
      </c>
      <c r="H222" s="18">
        <v>20256.8</v>
      </c>
      <c r="I222" s="18">
        <v>10.4</v>
      </c>
      <c r="J222" s="18"/>
      <c r="K222" s="18">
        <v>459.5</v>
      </c>
      <c r="L222" s="19">
        <f t="shared" si="2"/>
        <v>21986.32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>
        <v>17669.2</v>
      </c>
      <c r="I226" s="18"/>
      <c r="J226" s="18"/>
      <c r="K226" s="18"/>
      <c r="L226" s="19">
        <f t="shared" si="2"/>
        <v>17669.2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1160</v>
      </c>
      <c r="G229" s="41">
        <f>SUM(G215:G228)</f>
        <v>99.62</v>
      </c>
      <c r="H229" s="41">
        <f>SUM(H215:H228)</f>
        <v>177022</v>
      </c>
      <c r="I229" s="41">
        <f>SUM(I215:I228)</f>
        <v>10.4</v>
      </c>
      <c r="J229" s="41">
        <f>SUM(J215:J228)</f>
        <v>0</v>
      </c>
      <c r="K229" s="41">
        <f t="shared" si="3"/>
        <v>459.5</v>
      </c>
      <c r="L229" s="41">
        <f t="shared" si="3"/>
        <v>178751.52000000002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319309.59999999998</v>
      </c>
      <c r="I233" s="18"/>
      <c r="J233" s="18"/>
      <c r="K233" s="18"/>
      <c r="L233" s="19">
        <f>SUM(F233:K233)</f>
        <v>319309.59999999998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>
        <v>7388.9</v>
      </c>
      <c r="I234" s="18"/>
      <c r="J234" s="18"/>
      <c r="K234" s="18"/>
      <c r="L234" s="19">
        <f>SUM(F234:K234)</f>
        <v>7388.9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1160</v>
      </c>
      <c r="G240" s="18">
        <v>99.62</v>
      </c>
      <c r="H240" s="18">
        <v>20256.8</v>
      </c>
      <c r="I240" s="18">
        <v>10.4</v>
      </c>
      <c r="J240" s="18"/>
      <c r="K240" s="18">
        <v>459.5</v>
      </c>
      <c r="L240" s="19">
        <f t="shared" si="4"/>
        <v>21986.32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17669.2</v>
      </c>
      <c r="I244" s="18"/>
      <c r="J244" s="18"/>
      <c r="K244" s="18"/>
      <c r="L244" s="19">
        <f t="shared" si="4"/>
        <v>17669.2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1160</v>
      </c>
      <c r="G247" s="41">
        <f t="shared" si="5"/>
        <v>99.62</v>
      </c>
      <c r="H247" s="41">
        <f t="shared" si="5"/>
        <v>364624.5</v>
      </c>
      <c r="I247" s="41">
        <f t="shared" si="5"/>
        <v>10.4</v>
      </c>
      <c r="J247" s="41">
        <f t="shared" si="5"/>
        <v>0</v>
      </c>
      <c r="K247" s="41">
        <f t="shared" si="5"/>
        <v>459.5</v>
      </c>
      <c r="L247" s="41">
        <f t="shared" si="5"/>
        <v>366354.02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v>30591.25</v>
      </c>
      <c r="I255" s="18"/>
      <c r="J255" s="18"/>
      <c r="K255" s="18"/>
      <c r="L255" s="19">
        <f t="shared" si="6"/>
        <v>30591.25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30591.25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30591.25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662056.70000000007</v>
      </c>
      <c r="G257" s="41">
        <f t="shared" si="8"/>
        <v>341904.88</v>
      </c>
      <c r="H257" s="41">
        <f t="shared" si="8"/>
        <v>925133.3</v>
      </c>
      <c r="I257" s="41">
        <f t="shared" si="8"/>
        <v>39850.14</v>
      </c>
      <c r="J257" s="41">
        <f t="shared" si="8"/>
        <v>8462.24</v>
      </c>
      <c r="K257" s="41">
        <f t="shared" si="8"/>
        <v>7020.2300000000005</v>
      </c>
      <c r="L257" s="41">
        <f t="shared" si="8"/>
        <v>1984427.49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10178.6</v>
      </c>
      <c r="L263" s="19">
        <f>SUM(F263:K263)</f>
        <v>10178.6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65000</v>
      </c>
      <c r="L266" s="19">
        <f t="shared" si="9"/>
        <v>65000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75178.600000000006</v>
      </c>
      <c r="L270" s="41">
        <f t="shared" si="9"/>
        <v>75178.600000000006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662056.70000000007</v>
      </c>
      <c r="G271" s="42">
        <f t="shared" si="11"/>
        <v>341904.88</v>
      </c>
      <c r="H271" s="42">
        <f t="shared" si="11"/>
        <v>925133.3</v>
      </c>
      <c r="I271" s="42">
        <f t="shared" si="11"/>
        <v>39850.14</v>
      </c>
      <c r="J271" s="42">
        <f t="shared" si="11"/>
        <v>8462.24</v>
      </c>
      <c r="K271" s="42">
        <f t="shared" si="11"/>
        <v>82198.83</v>
      </c>
      <c r="L271" s="42">
        <f t="shared" si="11"/>
        <v>2059606.09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80</v>
      </c>
      <c r="G276" s="18">
        <v>20.010000000000002</v>
      </c>
      <c r="H276" s="18">
        <v>6833.96</v>
      </c>
      <c r="I276" s="18">
        <v>1141.05</v>
      </c>
      <c r="J276" s="18"/>
      <c r="K276" s="18"/>
      <c r="L276" s="19">
        <f>SUM(F276:K276)</f>
        <v>8075.02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>
        <v>6.71</v>
      </c>
      <c r="J286" s="18"/>
      <c r="K286" s="18"/>
      <c r="L286" s="19">
        <f t="shared" si="12"/>
        <v>6.71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80</v>
      </c>
      <c r="G290" s="42">
        <f t="shared" si="13"/>
        <v>20.010000000000002</v>
      </c>
      <c r="H290" s="42">
        <f t="shared" si="13"/>
        <v>6833.96</v>
      </c>
      <c r="I290" s="42">
        <f t="shared" si="13"/>
        <v>1147.76</v>
      </c>
      <c r="J290" s="42">
        <f t="shared" si="13"/>
        <v>0</v>
      </c>
      <c r="K290" s="42">
        <f t="shared" si="13"/>
        <v>0</v>
      </c>
      <c r="L290" s="41">
        <f t="shared" si="13"/>
        <v>8081.7300000000005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80</v>
      </c>
      <c r="G338" s="41">
        <f t="shared" si="20"/>
        <v>20.010000000000002</v>
      </c>
      <c r="H338" s="41">
        <f t="shared" si="20"/>
        <v>6833.96</v>
      </c>
      <c r="I338" s="41">
        <f t="shared" si="20"/>
        <v>1147.76</v>
      </c>
      <c r="J338" s="41">
        <f t="shared" si="20"/>
        <v>0</v>
      </c>
      <c r="K338" s="41">
        <f t="shared" si="20"/>
        <v>0</v>
      </c>
      <c r="L338" s="41">
        <f t="shared" si="20"/>
        <v>8081.7300000000005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80</v>
      </c>
      <c r="G352" s="41">
        <f>G338</f>
        <v>20.010000000000002</v>
      </c>
      <c r="H352" s="41">
        <f>H338</f>
        <v>6833.96</v>
      </c>
      <c r="I352" s="41">
        <f>I338</f>
        <v>1147.76</v>
      </c>
      <c r="J352" s="41">
        <f>J338</f>
        <v>0</v>
      </c>
      <c r="K352" s="47">
        <f>K338+K351</f>
        <v>0</v>
      </c>
      <c r="L352" s="41">
        <f>L338+L351</f>
        <v>8081.7300000000005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8647.31</v>
      </c>
      <c r="G358" s="18">
        <v>679.23</v>
      </c>
      <c r="H358" s="18">
        <v>1173.05</v>
      </c>
      <c r="I358" s="18">
        <v>20446.810000000001</v>
      </c>
      <c r="J358" s="18"/>
      <c r="K358" s="18"/>
      <c r="L358" s="13">
        <f>SUM(F358:K358)</f>
        <v>30946.400000000001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8647.31</v>
      </c>
      <c r="G362" s="47">
        <f t="shared" si="22"/>
        <v>679.23</v>
      </c>
      <c r="H362" s="47">
        <f t="shared" si="22"/>
        <v>1173.05</v>
      </c>
      <c r="I362" s="47">
        <f t="shared" si="22"/>
        <v>20446.810000000001</v>
      </c>
      <c r="J362" s="47">
        <f t="shared" si="22"/>
        <v>0</v>
      </c>
      <c r="K362" s="47">
        <f t="shared" si="22"/>
        <v>0</v>
      </c>
      <c r="L362" s="47">
        <f t="shared" si="22"/>
        <v>30946.400000000001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19233.47</v>
      </c>
      <c r="G367" s="18"/>
      <c r="H367" s="18"/>
      <c r="I367" s="56">
        <f>SUM(F367:H367)</f>
        <v>19233.47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1213.3399999999999</v>
      </c>
      <c r="G368" s="63"/>
      <c r="H368" s="63"/>
      <c r="I368" s="56">
        <f>SUM(F368:H368)</f>
        <v>1213.3399999999999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20446.810000000001</v>
      </c>
      <c r="G369" s="47">
        <f>SUM(G367:G368)</f>
        <v>0</v>
      </c>
      <c r="H369" s="47">
        <f>SUM(H367:H368)</f>
        <v>0</v>
      </c>
      <c r="I369" s="47">
        <f>SUM(I367:I368)</f>
        <v>20446.810000000001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30000</v>
      </c>
      <c r="H396" s="18">
        <v>188.87</v>
      </c>
      <c r="I396" s="18"/>
      <c r="J396" s="24" t="s">
        <v>286</v>
      </c>
      <c r="K396" s="24" t="s">
        <v>286</v>
      </c>
      <c r="L396" s="56">
        <f t="shared" si="26"/>
        <v>30188.87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>
        <v>524.70000000000005</v>
      </c>
      <c r="I397" s="18"/>
      <c r="J397" s="24" t="s">
        <v>286</v>
      </c>
      <c r="K397" s="24" t="s">
        <v>286</v>
      </c>
      <c r="L397" s="56">
        <f t="shared" si="26"/>
        <v>524.70000000000005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>
        <v>35000</v>
      </c>
      <c r="H398" s="18">
        <v>145.33000000000001</v>
      </c>
      <c r="I398" s="18"/>
      <c r="J398" s="24" t="s">
        <v>286</v>
      </c>
      <c r="K398" s="24" t="s">
        <v>286</v>
      </c>
      <c r="L398" s="56">
        <f t="shared" si="26"/>
        <v>35145.33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65000</v>
      </c>
      <c r="H401" s="47">
        <f>SUM(H395:H400)</f>
        <v>858.90000000000009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65858.899999999994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65000</v>
      </c>
      <c r="H408" s="47">
        <f>H393+H401+H407</f>
        <v>858.90000000000009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65858.899999999994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>
        <v>155800.51</v>
      </c>
      <c r="H440" s="18"/>
      <c r="I440" s="56">
        <f t="shared" si="33"/>
        <v>155800.51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155800.51</v>
      </c>
      <c r="H446" s="13">
        <f>SUM(H439:H445)</f>
        <v>0</v>
      </c>
      <c r="I446" s="13">
        <f>SUM(I439:I445)</f>
        <v>155800.51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155800.51</v>
      </c>
      <c r="H459" s="18"/>
      <c r="I459" s="56">
        <f t="shared" si="34"/>
        <v>155800.51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155800.51</v>
      </c>
      <c r="H460" s="83">
        <f>SUM(H454:H459)</f>
        <v>0</v>
      </c>
      <c r="I460" s="83">
        <f>SUM(I454:I459)</f>
        <v>155800.51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155800.51</v>
      </c>
      <c r="H461" s="42">
        <f>H452+H460</f>
        <v>0</v>
      </c>
      <c r="I461" s="42">
        <f>I452+I460</f>
        <v>155800.51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338161.75</v>
      </c>
      <c r="G465" s="18">
        <v>550.27</v>
      </c>
      <c r="H465" s="18">
        <v>4216.95</v>
      </c>
      <c r="I465" s="18"/>
      <c r="J465" s="18">
        <v>89941.61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1907005.04</v>
      </c>
      <c r="G468" s="18">
        <v>30396.13</v>
      </c>
      <c r="H468" s="18">
        <v>8075.02</v>
      </c>
      <c r="I468" s="18"/>
      <c r="J468" s="18">
        <v>65858.899999999994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1907005.04</v>
      </c>
      <c r="G470" s="53">
        <f>SUM(G468:G469)</f>
        <v>30396.13</v>
      </c>
      <c r="H470" s="53">
        <f>SUM(H468:H469)</f>
        <v>8075.02</v>
      </c>
      <c r="I470" s="53">
        <f>SUM(I468:I469)</f>
        <v>0</v>
      </c>
      <c r="J470" s="53">
        <f>SUM(J468:J469)</f>
        <v>65858.899999999994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2059606.09</v>
      </c>
      <c r="G472" s="18">
        <v>30946.400000000001</v>
      </c>
      <c r="H472" s="18">
        <v>8081.73</v>
      </c>
      <c r="I472" s="18"/>
      <c r="J472" s="18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2059606.09</v>
      </c>
      <c r="G474" s="53">
        <f>SUM(G472:G473)</f>
        <v>30946.400000000001</v>
      </c>
      <c r="H474" s="53">
        <f>SUM(H472:H473)</f>
        <v>8081.73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185560.69999999995</v>
      </c>
      <c r="G476" s="53">
        <f>(G465+G470)- G474</f>
        <v>0</v>
      </c>
      <c r="H476" s="53">
        <f>(H465+H470)- H474</f>
        <v>4210.2400000000016</v>
      </c>
      <c r="I476" s="53">
        <f>(I465+I470)- I474</f>
        <v>0</v>
      </c>
      <c r="J476" s="53">
        <f>(J465+J470)- J474</f>
        <v>155800.51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f>121576.13+3710.97</f>
        <v>125287.1</v>
      </c>
      <c r="G521" s="18">
        <f>63576.87+806.19</f>
        <v>64383.060000000005</v>
      </c>
      <c r="H521" s="18">
        <f>7410+56.8+80+28275.5+201.05+400</f>
        <v>36423.350000000006</v>
      </c>
      <c r="I521" s="18">
        <v>158.46</v>
      </c>
      <c r="J521" s="18"/>
      <c r="K521" s="18"/>
      <c r="L521" s="88">
        <f>SUM(F521:K521)</f>
        <v>226251.97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>
        <v>7388.9</v>
      </c>
      <c r="I523" s="18"/>
      <c r="J523" s="18"/>
      <c r="K523" s="18"/>
      <c r="L523" s="88">
        <f>SUM(F523:K523)</f>
        <v>7388.9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125287.1</v>
      </c>
      <c r="G524" s="108">
        <f t="shared" ref="G524:L524" si="36">SUM(G521:G523)</f>
        <v>64383.060000000005</v>
      </c>
      <c r="H524" s="108">
        <f t="shared" si="36"/>
        <v>43812.250000000007</v>
      </c>
      <c r="I524" s="108">
        <f t="shared" si="36"/>
        <v>158.46</v>
      </c>
      <c r="J524" s="108">
        <f t="shared" si="36"/>
        <v>0</v>
      </c>
      <c r="K524" s="108">
        <f t="shared" si="36"/>
        <v>0</v>
      </c>
      <c r="L524" s="89">
        <f t="shared" si="36"/>
        <v>233640.87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37028.1</v>
      </c>
      <c r="G526" s="18">
        <v>19363.43</v>
      </c>
      <c r="H526" s="18">
        <v>20346</v>
      </c>
      <c r="I526" s="18">
        <v>231.3</v>
      </c>
      <c r="J526" s="18"/>
      <c r="K526" s="18"/>
      <c r="L526" s="88">
        <f>SUM(F526:K526)</f>
        <v>76968.83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37028.1</v>
      </c>
      <c r="G529" s="89">
        <f t="shared" ref="G529:L529" si="37">SUM(G526:G528)</f>
        <v>19363.43</v>
      </c>
      <c r="H529" s="89">
        <f t="shared" si="37"/>
        <v>20346</v>
      </c>
      <c r="I529" s="89">
        <f t="shared" si="37"/>
        <v>231.3</v>
      </c>
      <c r="J529" s="89">
        <f t="shared" si="37"/>
        <v>0</v>
      </c>
      <c r="K529" s="89">
        <f t="shared" si="37"/>
        <v>0</v>
      </c>
      <c r="L529" s="89">
        <f t="shared" si="37"/>
        <v>76968.83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16079.22</v>
      </c>
      <c r="I536" s="18"/>
      <c r="J536" s="18"/>
      <c r="K536" s="18"/>
      <c r="L536" s="88">
        <f>SUM(F536:K536)</f>
        <v>16079.22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16079.22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16079.22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7049</v>
      </c>
      <c r="I541" s="18"/>
      <c r="J541" s="18"/>
      <c r="K541" s="18"/>
      <c r="L541" s="88">
        <f>SUM(F541:K541)</f>
        <v>7049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7049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7049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162315.20000000001</v>
      </c>
      <c r="G545" s="89">
        <f t="shared" ref="G545:L545" si="41">G524+G529+G534+G539+G544</f>
        <v>83746.490000000005</v>
      </c>
      <c r="H545" s="89">
        <f t="shared" si="41"/>
        <v>87286.47</v>
      </c>
      <c r="I545" s="89">
        <f t="shared" si="41"/>
        <v>389.76</v>
      </c>
      <c r="J545" s="89">
        <f t="shared" si="41"/>
        <v>0</v>
      </c>
      <c r="K545" s="89">
        <f t="shared" si="41"/>
        <v>0</v>
      </c>
      <c r="L545" s="89">
        <f t="shared" si="41"/>
        <v>333737.92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226251.97</v>
      </c>
      <c r="G549" s="87">
        <f>L526</f>
        <v>76968.83</v>
      </c>
      <c r="H549" s="87">
        <f>L531</f>
        <v>0</v>
      </c>
      <c r="I549" s="87">
        <f>L536</f>
        <v>16079.22</v>
      </c>
      <c r="J549" s="87">
        <f>L541</f>
        <v>7049</v>
      </c>
      <c r="K549" s="87">
        <f>SUM(F549:J549)</f>
        <v>326349.01999999996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7388.9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7388.9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233640.87</v>
      </c>
      <c r="G552" s="89">
        <f t="shared" si="42"/>
        <v>76968.83</v>
      </c>
      <c r="H552" s="89">
        <f t="shared" si="42"/>
        <v>0</v>
      </c>
      <c r="I552" s="89">
        <f t="shared" si="42"/>
        <v>16079.22</v>
      </c>
      <c r="J552" s="89">
        <f t="shared" si="42"/>
        <v>7049</v>
      </c>
      <c r="K552" s="89">
        <f t="shared" si="42"/>
        <v>333737.92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>
        <v>370</v>
      </c>
      <c r="L567" s="88">
        <f>SUM(F567:K567)</f>
        <v>370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370</v>
      </c>
      <c r="L570" s="193">
        <f t="shared" si="45"/>
        <v>370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370</v>
      </c>
      <c r="L571" s="89">
        <f t="shared" si="46"/>
        <v>370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>
        <v>139096</v>
      </c>
      <c r="H575" s="18">
        <v>319309.59999999998</v>
      </c>
      <c r="I575" s="87">
        <f>SUM(F575:H575)</f>
        <v>458405.6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28675.5</v>
      </c>
      <c r="G579" s="18"/>
      <c r="H579" s="18">
        <v>7388.9</v>
      </c>
      <c r="I579" s="87">
        <f t="shared" si="47"/>
        <v>36064.400000000001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57888.4</v>
      </c>
      <c r="I591" s="18">
        <v>17669.2</v>
      </c>
      <c r="J591" s="18">
        <v>17669.2</v>
      </c>
      <c r="K591" s="104">
        <f t="shared" ref="K591:K597" si="48">SUM(H591:J591)</f>
        <v>93226.8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7049</v>
      </c>
      <c r="I592" s="18"/>
      <c r="J592" s="18"/>
      <c r="K592" s="104">
        <f t="shared" si="48"/>
        <v>7049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3192.95</v>
      </c>
      <c r="I595" s="18"/>
      <c r="J595" s="18"/>
      <c r="K595" s="104">
        <f t="shared" si="48"/>
        <v>3192.95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68130.350000000006</v>
      </c>
      <c r="I598" s="108">
        <f>SUM(I591:I597)</f>
        <v>17669.2</v>
      </c>
      <c r="J598" s="108">
        <f>SUM(J591:J597)</f>
        <v>17669.2</v>
      </c>
      <c r="K598" s="108">
        <f>SUM(K591:K597)</f>
        <v>103468.75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8462.24</v>
      </c>
      <c r="I604" s="18"/>
      <c r="J604" s="18"/>
      <c r="K604" s="104">
        <f>SUM(H604:J604)</f>
        <v>8462.24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8462.24</v>
      </c>
      <c r="I605" s="108">
        <f>SUM(I602:I604)</f>
        <v>0</v>
      </c>
      <c r="J605" s="108">
        <f>SUM(J602:J604)</f>
        <v>0</v>
      </c>
      <c r="K605" s="108">
        <f>SUM(K602:K604)</f>
        <v>8462.24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3710.97</v>
      </c>
      <c r="G611" s="18"/>
      <c r="H611" s="18">
        <v>400</v>
      </c>
      <c r="I611" s="18"/>
      <c r="J611" s="18"/>
      <c r="K611" s="18"/>
      <c r="L611" s="88">
        <f>SUM(F611:K611)</f>
        <v>4110.9699999999993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3710.97</v>
      </c>
      <c r="G614" s="108">
        <f t="shared" si="49"/>
        <v>0</v>
      </c>
      <c r="H614" s="108">
        <f t="shared" si="49"/>
        <v>400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4110.9699999999993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189770.94</v>
      </c>
      <c r="H617" s="109">
        <f>SUM(F52)</f>
        <v>189770.93999999997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214.75</v>
      </c>
      <c r="H618" s="109">
        <f>SUM(G52)</f>
        <v>214.75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4210.24</v>
      </c>
      <c r="H619" s="109">
        <f>SUM(H52)</f>
        <v>4210.24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155800.51</v>
      </c>
      <c r="H621" s="109">
        <f>SUM(J52)</f>
        <v>155800.51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185560.69999999998</v>
      </c>
      <c r="H622" s="109">
        <f>F476</f>
        <v>185560.69999999995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4210.24</v>
      </c>
      <c r="H624" s="109">
        <f>H476</f>
        <v>4210.2400000000016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155800.51</v>
      </c>
      <c r="H626" s="109">
        <f>J476</f>
        <v>155800.51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1907005.04</v>
      </c>
      <c r="H627" s="104">
        <f>SUM(F468)</f>
        <v>1907005.04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30396.129999999997</v>
      </c>
      <c r="H628" s="104">
        <f>SUM(G468)</f>
        <v>30396.13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8075.02</v>
      </c>
      <c r="H629" s="104">
        <f>SUM(H468)</f>
        <v>8075.02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65858.899999999994</v>
      </c>
      <c r="H631" s="104">
        <f>SUM(J468)</f>
        <v>65858.899999999994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2059606.09</v>
      </c>
      <c r="H632" s="104">
        <f>SUM(F472)</f>
        <v>2059606.09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8081.7300000000005</v>
      </c>
      <c r="H633" s="104">
        <f>SUM(H472)</f>
        <v>8081.73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20446.810000000001</v>
      </c>
      <c r="H634" s="104">
        <f>I369</f>
        <v>20446.810000000001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30946.400000000001</v>
      </c>
      <c r="H635" s="104">
        <f>SUM(G472)</f>
        <v>30946.400000000001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65858.899999999994</v>
      </c>
      <c r="H637" s="164">
        <f>SUM(J468)</f>
        <v>65858.899999999994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155800.51</v>
      </c>
      <c r="H640" s="104">
        <f>SUM(G461)</f>
        <v>155800.51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155800.51</v>
      </c>
      <c r="H642" s="104">
        <f>SUM(I461)</f>
        <v>155800.51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858.9</v>
      </c>
      <c r="H644" s="104">
        <f>H408</f>
        <v>858.90000000000009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65000</v>
      </c>
      <c r="H645" s="104">
        <f>G408</f>
        <v>65000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65858.899999999994</v>
      </c>
      <c r="H646" s="104">
        <f>L408</f>
        <v>65858.899999999994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103468.75</v>
      </c>
      <c r="H647" s="104">
        <f>L208+L226+L244</f>
        <v>103468.75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8462.24</v>
      </c>
      <c r="H648" s="104">
        <f>(J257+J338)-(J255+J336)</f>
        <v>8462.24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68130.350000000006</v>
      </c>
      <c r="H649" s="104">
        <f>H598</f>
        <v>68130.350000000006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17669.2</v>
      </c>
      <c r="H650" s="104">
        <f>I598</f>
        <v>17669.2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17669.2</v>
      </c>
      <c r="H651" s="104">
        <f>J598</f>
        <v>17669.2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10178.6</v>
      </c>
      <c r="H652" s="104">
        <f>K263+K345</f>
        <v>10178.6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65000</v>
      </c>
      <c r="H655" s="104">
        <f>K266+K347</f>
        <v>65000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1447758.8299999998</v>
      </c>
      <c r="G660" s="19">
        <f>(L229+L309+L359)</f>
        <v>178751.52000000002</v>
      </c>
      <c r="H660" s="19">
        <f>(L247+L328+L360)</f>
        <v>366354.02</v>
      </c>
      <c r="I660" s="19">
        <f>SUM(F660:H660)</f>
        <v>1992864.3699999999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17050.45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17050.45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68130.350000000006</v>
      </c>
      <c r="G662" s="19">
        <f>(L226+L306)-(J226+J306)</f>
        <v>17669.2</v>
      </c>
      <c r="H662" s="19">
        <f>(L244+L325)-(J244+J325)</f>
        <v>17669.2</v>
      </c>
      <c r="I662" s="19">
        <f>SUM(F662:H662)</f>
        <v>103468.75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41248.71</v>
      </c>
      <c r="G663" s="199">
        <f>SUM(G575:G587)+SUM(I602:I604)+L612</f>
        <v>139096</v>
      </c>
      <c r="H663" s="199">
        <f>SUM(H575:H587)+SUM(J602:J604)+L613</f>
        <v>326698.5</v>
      </c>
      <c r="I663" s="19">
        <f>SUM(F663:H663)</f>
        <v>507043.20999999996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1321329.3199999998</v>
      </c>
      <c r="G664" s="19">
        <f>G660-SUM(G661:G663)</f>
        <v>21986.320000000007</v>
      </c>
      <c r="H664" s="19">
        <f>H660-SUM(H661:H663)</f>
        <v>21986.320000000007</v>
      </c>
      <c r="I664" s="19">
        <f>I660-SUM(I661:I663)</f>
        <v>1365301.96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47.2</v>
      </c>
      <c r="G665" s="248"/>
      <c r="H665" s="248"/>
      <c r="I665" s="19">
        <f>SUM(F665:H665)</f>
        <v>47.2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27994.27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28925.89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>
        <v>-21986.32</v>
      </c>
      <c r="H669" s="18">
        <v>-21986.32</v>
      </c>
      <c r="I669" s="19">
        <f>SUM(F669:H669)</f>
        <v>-43972.639999999999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27994.27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27994.27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39" sqref="B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Newington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332477.26</v>
      </c>
      <c r="C9" s="229">
        <f>'DOE25'!G197+'DOE25'!G215+'DOE25'!G233+'DOE25'!G276+'DOE25'!G295+'DOE25'!G314</f>
        <v>173924.41</v>
      </c>
    </row>
    <row r="10" spans="1:3" x14ac:dyDescent="0.2">
      <c r="A10" t="s">
        <v>773</v>
      </c>
      <c r="B10" s="240">
        <v>327578.26</v>
      </c>
      <c r="C10" s="240">
        <v>171361.66</v>
      </c>
    </row>
    <row r="11" spans="1:3" x14ac:dyDescent="0.2">
      <c r="A11" t="s">
        <v>774</v>
      </c>
      <c r="B11" s="240"/>
      <c r="C11" s="240"/>
    </row>
    <row r="12" spans="1:3" x14ac:dyDescent="0.2">
      <c r="A12" t="s">
        <v>775</v>
      </c>
      <c r="B12" s="240">
        <v>4899</v>
      </c>
      <c r="C12" s="240">
        <v>2562.75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332477.26</v>
      </c>
      <c r="C13" s="231">
        <f>SUM(C10:C12)</f>
        <v>173924.41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121576.13</v>
      </c>
      <c r="C18" s="229">
        <f>'DOE25'!G198+'DOE25'!G216+'DOE25'!G234+'DOE25'!G277+'DOE25'!G296+'DOE25'!G315</f>
        <v>63576.87</v>
      </c>
    </row>
    <row r="19" spans="1:3" x14ac:dyDescent="0.2">
      <c r="A19" t="s">
        <v>773</v>
      </c>
      <c r="B19" s="240">
        <v>87193</v>
      </c>
      <c r="C19" s="240">
        <v>45596.6</v>
      </c>
    </row>
    <row r="20" spans="1:3" x14ac:dyDescent="0.2">
      <c r="A20" t="s">
        <v>774</v>
      </c>
      <c r="B20" s="240">
        <v>34383.129999999997</v>
      </c>
      <c r="C20" s="240">
        <v>17980.27</v>
      </c>
    </row>
    <row r="21" spans="1:3" x14ac:dyDescent="0.2">
      <c r="A21" t="s">
        <v>775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121576.13</v>
      </c>
      <c r="C22" s="231">
        <f>SUM(C19:C21)</f>
        <v>63576.869999999995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10263.61</v>
      </c>
      <c r="C36" s="235">
        <f>'DOE25'!G200+'DOE25'!G218+'DOE25'!G236+'DOE25'!G279+'DOE25'!G298+'DOE25'!G317</f>
        <v>806.19</v>
      </c>
    </row>
    <row r="37" spans="1:3" x14ac:dyDescent="0.2">
      <c r="A37" t="s">
        <v>773</v>
      </c>
      <c r="B37" s="240">
        <v>2056.77</v>
      </c>
      <c r="C37" s="240">
        <v>161.56</v>
      </c>
    </row>
    <row r="38" spans="1:3" x14ac:dyDescent="0.2">
      <c r="A38" t="s">
        <v>774</v>
      </c>
      <c r="B38" s="240">
        <v>8206.84</v>
      </c>
      <c r="C38" s="240">
        <v>644.63</v>
      </c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10263.61</v>
      </c>
      <c r="C40" s="231">
        <f>SUM(C37:C39)</f>
        <v>806.19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N34" sqref="N34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Newington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1241454.58</v>
      </c>
      <c r="D5" s="20">
        <f>SUM('DOE25'!L197:L200)+SUM('DOE25'!L215:L218)+SUM('DOE25'!L233:L236)-F5-G5</f>
        <v>1239402.8500000001</v>
      </c>
      <c r="E5" s="243"/>
      <c r="F5" s="255">
        <f>SUM('DOE25'!J197:J200)+SUM('DOE25'!J215:J218)+SUM('DOE25'!J233:J236)</f>
        <v>1681.73</v>
      </c>
      <c r="G5" s="53">
        <f>SUM('DOE25'!K197:K200)+SUM('DOE25'!K215:K218)+SUM('DOE25'!K233:K236)</f>
        <v>370</v>
      </c>
      <c r="H5" s="259"/>
    </row>
    <row r="6" spans="1:9" x14ac:dyDescent="0.2">
      <c r="A6" s="32">
        <v>2100</v>
      </c>
      <c r="B6" t="s">
        <v>795</v>
      </c>
      <c r="C6" s="245">
        <f t="shared" si="0"/>
        <v>76870.33</v>
      </c>
      <c r="D6" s="20">
        <f>'DOE25'!L202+'DOE25'!L220+'DOE25'!L238-F6-G6</f>
        <v>76870.33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32004.43</v>
      </c>
      <c r="D7" s="20">
        <f>'DOE25'!L203+'DOE25'!L221+'DOE25'!L239-F7-G7</f>
        <v>30852.920000000002</v>
      </c>
      <c r="E7" s="243"/>
      <c r="F7" s="255">
        <f>'DOE25'!J203+'DOE25'!J221+'DOE25'!J239</f>
        <v>361.51</v>
      </c>
      <c r="G7" s="53">
        <f>'DOE25'!K203+'DOE25'!K221+'DOE25'!K239</f>
        <v>790</v>
      </c>
      <c r="H7" s="259"/>
    </row>
    <row r="8" spans="1:9" x14ac:dyDescent="0.2">
      <c r="A8" s="32">
        <v>2300</v>
      </c>
      <c r="B8" t="s">
        <v>796</v>
      </c>
      <c r="C8" s="245">
        <f t="shared" si="0"/>
        <v>154672.12</v>
      </c>
      <c r="D8" s="243"/>
      <c r="E8" s="20">
        <f>'DOE25'!L204+'DOE25'!L222+'DOE25'!L240-F8-G8-D9-D11</f>
        <v>150077.07</v>
      </c>
      <c r="F8" s="255">
        <f>'DOE25'!J204+'DOE25'!J222+'DOE25'!J240</f>
        <v>0</v>
      </c>
      <c r="G8" s="53">
        <f>'DOE25'!K204+'DOE25'!K222+'DOE25'!K240</f>
        <v>4595.05</v>
      </c>
      <c r="H8" s="259"/>
    </row>
    <row r="9" spans="1:9" x14ac:dyDescent="0.2">
      <c r="A9" s="32">
        <v>2310</v>
      </c>
      <c r="B9" t="s">
        <v>812</v>
      </c>
      <c r="C9" s="245">
        <f t="shared" si="0"/>
        <v>16384.07</v>
      </c>
      <c r="D9" s="244">
        <v>16384.07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5600</v>
      </c>
      <c r="D10" s="243"/>
      <c r="E10" s="244">
        <v>5600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48807</v>
      </c>
      <c r="D11" s="244">
        <v>48807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183021.94999999998</v>
      </c>
      <c r="D12" s="20">
        <f>'DOE25'!L205+'DOE25'!L223+'DOE25'!L241-F12-G12</f>
        <v>182236.94999999998</v>
      </c>
      <c r="E12" s="243"/>
      <c r="F12" s="255">
        <f>'DOE25'!J205+'DOE25'!J223+'DOE25'!J241</f>
        <v>0</v>
      </c>
      <c r="G12" s="53">
        <f>'DOE25'!K205+'DOE25'!K223+'DOE25'!K241</f>
        <v>785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480.18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480.18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87403.31</v>
      </c>
      <c r="D14" s="20">
        <f>'DOE25'!L207+'DOE25'!L225+'DOE25'!L243-F14-G14</f>
        <v>87403.31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103468.75</v>
      </c>
      <c r="D15" s="20">
        <f>'DOE25'!L208+'DOE25'!L226+'DOE25'!L244-F15-G15</f>
        <v>103468.75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9269.52</v>
      </c>
      <c r="D16" s="243"/>
      <c r="E16" s="20">
        <f>'DOE25'!L209+'DOE25'!L227+'DOE25'!L245-F16-G16</f>
        <v>2850.5200000000004</v>
      </c>
      <c r="F16" s="255">
        <f>'DOE25'!J209+'DOE25'!J227+'DOE25'!J245</f>
        <v>6419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30591.25</v>
      </c>
      <c r="D22" s="243"/>
      <c r="E22" s="243"/>
      <c r="F22" s="255">
        <f>'DOE25'!L255+'DOE25'!L336</f>
        <v>30591.25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11712.93</v>
      </c>
      <c r="D29" s="20">
        <f>'DOE25'!L358+'DOE25'!L359+'DOE25'!L360-'DOE25'!I367-F29-G29</f>
        <v>11712.93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8081.7300000000005</v>
      </c>
      <c r="D31" s="20">
        <f>'DOE25'!L290+'DOE25'!L309+'DOE25'!L328+'DOE25'!L333+'DOE25'!L334+'DOE25'!L335-F31-G31</f>
        <v>8081.7300000000005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1805220.84</v>
      </c>
      <c r="E33" s="246">
        <f>SUM(E5:E31)</f>
        <v>158527.59</v>
      </c>
      <c r="F33" s="246">
        <f>SUM(F5:F31)</f>
        <v>39053.49</v>
      </c>
      <c r="G33" s="246">
        <f>SUM(G5:G31)</f>
        <v>7020.2300000000005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158527.59</v>
      </c>
      <c r="E35" s="249"/>
    </row>
    <row r="36" spans="2:8" ht="12" thickTop="1" x14ac:dyDescent="0.2">
      <c r="B36" t="s">
        <v>809</v>
      </c>
      <c r="D36" s="20">
        <f>D33</f>
        <v>1805220.84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Newington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189536.65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155800.51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214.75</v>
      </c>
      <c r="D11" s="95">
        <f>'DOE25'!G12</f>
        <v>0</v>
      </c>
      <c r="E11" s="95">
        <f>'DOE25'!H12</f>
        <v>4210.24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19.54</v>
      </c>
      <c r="D12" s="95">
        <f>'DOE25'!G13</f>
        <v>214.75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189770.94</v>
      </c>
      <c r="D18" s="41">
        <f>SUM(D8:D17)</f>
        <v>214.75</v>
      </c>
      <c r="E18" s="41">
        <f>SUM(E8:E17)</f>
        <v>4210.24</v>
      </c>
      <c r="F18" s="41">
        <f>SUM(F8:F17)</f>
        <v>0</v>
      </c>
      <c r="G18" s="41">
        <f>SUM(G8:G17)</f>
        <v>155800.51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4210.24</v>
      </c>
      <c r="D21" s="95">
        <f>'DOE25'!G22</f>
        <v>214.75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4210.24</v>
      </c>
      <c r="D31" s="41">
        <f>SUM(D21:D30)</f>
        <v>214.75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67350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4210.24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44502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18094.39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155800.51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33147.57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22466.74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185560.69999999998</v>
      </c>
      <c r="D50" s="41">
        <f>SUM(D34:D49)</f>
        <v>0</v>
      </c>
      <c r="E50" s="41">
        <f>SUM(E34:E49)</f>
        <v>4210.24</v>
      </c>
      <c r="F50" s="41">
        <f>SUM(F34:F49)</f>
        <v>0</v>
      </c>
      <c r="G50" s="41">
        <f>SUM(G34:G49)</f>
        <v>155800.51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189770.93999999997</v>
      </c>
      <c r="D51" s="41">
        <f>D50+D31</f>
        <v>214.75</v>
      </c>
      <c r="E51" s="41">
        <f>E50+E31</f>
        <v>4210.24</v>
      </c>
      <c r="F51" s="41">
        <f>F50+F31</f>
        <v>0</v>
      </c>
      <c r="G51" s="41">
        <f>G50+G31</f>
        <v>155800.51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426106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71190.2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8.08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858.9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17050.45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55095.459999999992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126293.73999999999</v>
      </c>
      <c r="D62" s="130">
        <f>SUM(D57:D61)</f>
        <v>17050.45</v>
      </c>
      <c r="E62" s="130">
        <f>SUM(E57:E61)</f>
        <v>0</v>
      </c>
      <c r="F62" s="130">
        <f>SUM(F57:F61)</f>
        <v>0</v>
      </c>
      <c r="G62" s="130">
        <f>SUM(G57:G61)</f>
        <v>858.9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552399.74</v>
      </c>
      <c r="D63" s="22">
        <f>D56+D62</f>
        <v>17050.45</v>
      </c>
      <c r="E63" s="22">
        <f>E56+E62</f>
        <v>0</v>
      </c>
      <c r="F63" s="22">
        <f>F56+F62</f>
        <v>0</v>
      </c>
      <c r="G63" s="22">
        <f>G56+G62</f>
        <v>858.9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0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1353962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1353962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1353962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643.29999999999995</v>
      </c>
      <c r="D88" s="95">
        <f>SUM('DOE25'!G153:G161)</f>
        <v>3167.08</v>
      </c>
      <c r="E88" s="95">
        <f>SUM('DOE25'!H153:H161)</f>
        <v>8075.02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643.29999999999995</v>
      </c>
      <c r="D91" s="131">
        <f>SUM(D85:D90)</f>
        <v>3167.08</v>
      </c>
      <c r="E91" s="131">
        <f>SUM(E85:E90)</f>
        <v>8075.02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10178.6</v>
      </c>
      <c r="E96" s="95">
        <f>'DOE25'!H179</f>
        <v>0</v>
      </c>
      <c r="F96" s="95">
        <f>'DOE25'!I179</f>
        <v>0</v>
      </c>
      <c r="G96" s="95">
        <f>'DOE25'!J179</f>
        <v>65000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10178.6</v>
      </c>
      <c r="E103" s="86">
        <f>SUM(E93:E102)</f>
        <v>0</v>
      </c>
      <c r="F103" s="86">
        <f>SUM(F93:F102)</f>
        <v>0</v>
      </c>
      <c r="G103" s="86">
        <f>SUM(G93:G102)</f>
        <v>65000</v>
      </c>
    </row>
    <row r="104" spans="1:7" ht="12.75" thickTop="1" thickBot="1" x14ac:dyDescent="0.25">
      <c r="A104" s="33" t="s">
        <v>759</v>
      </c>
      <c r="C104" s="86">
        <f>C63+C81+C91+C103</f>
        <v>1907005.04</v>
      </c>
      <c r="D104" s="86">
        <f>D63+D81+D91+D103</f>
        <v>30396.129999999997</v>
      </c>
      <c r="E104" s="86">
        <f>E63+E81+E91+E103</f>
        <v>8075.02</v>
      </c>
      <c r="F104" s="86">
        <f>F63+F81+F91+F103</f>
        <v>0</v>
      </c>
      <c r="G104" s="86">
        <f>G63+G81+G103</f>
        <v>65858.899999999994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978939.02999999991</v>
      </c>
      <c r="D109" s="24" t="s">
        <v>286</v>
      </c>
      <c r="E109" s="95">
        <f>('DOE25'!L276)+('DOE25'!L295)+('DOE25'!L314)</f>
        <v>8075.02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245172.93</v>
      </c>
      <c r="D110" s="24" t="s">
        <v>286</v>
      </c>
      <c r="E110" s="95">
        <f>('DOE25'!L277)+('DOE25'!L296)+('DOE25'!L315)</f>
        <v>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17342.62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1241454.58</v>
      </c>
      <c r="D115" s="86">
        <f>SUM(D109:D114)</f>
        <v>0</v>
      </c>
      <c r="E115" s="86">
        <f>SUM(E109:E114)</f>
        <v>8075.02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76870.33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32004.43</v>
      </c>
      <c r="D119" s="24" t="s">
        <v>286</v>
      </c>
      <c r="E119" s="95">
        <f>+('DOE25'!L282)+('DOE25'!L301)+('DOE25'!L320)</f>
        <v>0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219863.19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183021.94999999998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480.18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87403.31</v>
      </c>
      <c r="D123" s="24" t="s">
        <v>286</v>
      </c>
      <c r="E123" s="95">
        <f>+('DOE25'!L286)+('DOE25'!L305)+('DOE25'!L324)</f>
        <v>6.71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103468.75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9269.52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30946.400000000001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712381.66</v>
      </c>
      <c r="D128" s="86">
        <f>SUM(D118:D127)</f>
        <v>30946.400000000001</v>
      </c>
      <c r="E128" s="86">
        <f>SUM(E118:E127)</f>
        <v>6.71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30591.25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10178.6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65858.899999999994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-858.89999999999418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105769.85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2059606.0900000003</v>
      </c>
      <c r="D145" s="86">
        <f>(D115+D128+D144)</f>
        <v>30946.400000000001</v>
      </c>
      <c r="E145" s="86">
        <f>(E115+E128+E144)</f>
        <v>8081.7300000000005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C4" sqref="C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Newington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27994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27994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987014</v>
      </c>
      <c r="D10" s="182">
        <f>ROUND((C10/$C$28)*100,1)</f>
        <v>50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245173</v>
      </c>
      <c r="D11" s="182">
        <f>ROUND((C11/$C$28)*100,1)</f>
        <v>12.4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17343</v>
      </c>
      <c r="D13" s="182">
        <f>ROUND((C13/$C$28)*100,1)</f>
        <v>0.9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76870</v>
      </c>
      <c r="D15" s="182">
        <f t="shared" ref="D15:D27" si="0">ROUND((C15/$C$28)*100,1)</f>
        <v>3.9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32004</v>
      </c>
      <c r="D16" s="182">
        <f t="shared" si="0"/>
        <v>1.6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229133</v>
      </c>
      <c r="D17" s="182">
        <f t="shared" si="0"/>
        <v>11.6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183022</v>
      </c>
      <c r="D18" s="182">
        <f t="shared" si="0"/>
        <v>9.3000000000000007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480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87410</v>
      </c>
      <c r="D20" s="182">
        <f t="shared" si="0"/>
        <v>4.4000000000000004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103469</v>
      </c>
      <c r="D21" s="182">
        <f t="shared" si="0"/>
        <v>5.2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13895.55</v>
      </c>
      <c r="D27" s="182">
        <f t="shared" si="0"/>
        <v>0.7</v>
      </c>
    </row>
    <row r="28" spans="1:4" x14ac:dyDescent="0.2">
      <c r="B28" s="187" t="s">
        <v>717</v>
      </c>
      <c r="C28" s="180">
        <f>SUM(C10:C27)</f>
        <v>1975813.55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30591</v>
      </c>
    </row>
    <row r="30" spans="1:4" x14ac:dyDescent="0.2">
      <c r="B30" s="187" t="s">
        <v>723</v>
      </c>
      <c r="C30" s="180">
        <f>SUM(C28:C29)</f>
        <v>2006404.55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426106</v>
      </c>
      <c r="D35" s="182">
        <f t="shared" ref="D35:D40" si="1">ROUND((C35/$C$41)*100,1)</f>
        <v>22.2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127152.64000000001</v>
      </c>
      <c r="D36" s="182">
        <f t="shared" si="1"/>
        <v>6.6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1353962</v>
      </c>
      <c r="D37" s="182">
        <f t="shared" si="1"/>
        <v>70.599999999999994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11885</v>
      </c>
      <c r="D39" s="182">
        <f t="shared" si="1"/>
        <v>0.6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1919105.6400000001</v>
      </c>
      <c r="D41" s="184">
        <f>SUM(D35:D40)</f>
        <v>99.999999999999986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Newington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2018-11-29T13:50:08Z</cp:lastPrinted>
  <dcterms:created xsi:type="dcterms:W3CDTF">1997-12-04T19:04:30Z</dcterms:created>
  <dcterms:modified xsi:type="dcterms:W3CDTF">2018-11-30T15:46:37Z</dcterms:modified>
</cp:coreProperties>
</file>