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120" i="1" l="1"/>
  <c r="F502" i="1" l="1"/>
  <c r="G233" i="1" l="1"/>
  <c r="F234" i="1"/>
  <c r="G234" i="1"/>
  <c r="G198" i="1" l="1"/>
  <c r="H523" i="1" l="1"/>
  <c r="J523" i="1"/>
  <c r="I523" i="1"/>
  <c r="G523" i="1"/>
  <c r="F523" i="1"/>
  <c r="H521" i="1"/>
  <c r="F521" i="1"/>
  <c r="J521" i="1"/>
  <c r="I521" i="1"/>
  <c r="G521" i="1"/>
  <c r="H244" i="1"/>
  <c r="H208" i="1"/>
  <c r="J243" i="1" l="1"/>
  <c r="J207" i="1"/>
  <c r="F468" i="1"/>
  <c r="F472" i="1"/>
  <c r="H9" i="1" l="1"/>
  <c r="H468" i="1"/>
  <c r="H238" i="1" l="1"/>
  <c r="K240" i="1" l="1"/>
  <c r="K204" i="1"/>
  <c r="H243" i="1" l="1"/>
  <c r="G243" i="1"/>
  <c r="F243" i="1"/>
  <c r="G242" i="1"/>
  <c r="H235" i="1" l="1"/>
  <c r="G204" i="1" l="1"/>
  <c r="F204" i="1"/>
  <c r="H204" i="1"/>
  <c r="G240" i="1"/>
  <c r="H207" i="1"/>
  <c r="I204" i="1" l="1"/>
  <c r="G207" i="1"/>
  <c r="F207" i="1"/>
  <c r="G205" i="1"/>
  <c r="I203" i="1"/>
  <c r="H203" i="1"/>
  <c r="G203" i="1"/>
  <c r="F203" i="1"/>
  <c r="I202" i="1"/>
  <c r="G202" i="1"/>
  <c r="F202" i="1"/>
  <c r="G200" i="1"/>
  <c r="F200" i="1"/>
  <c r="I198" i="1"/>
  <c r="H198" i="1"/>
  <c r="F198" i="1"/>
  <c r="I197" i="1"/>
  <c r="G197" i="1"/>
  <c r="I240" i="1"/>
  <c r="H240" i="1"/>
  <c r="F240" i="1"/>
  <c r="K205" i="1"/>
  <c r="K206" i="1"/>
  <c r="K242" i="1"/>
  <c r="I242" i="1"/>
  <c r="H242" i="1"/>
  <c r="F242" i="1"/>
  <c r="I206" i="1"/>
  <c r="H206" i="1"/>
  <c r="G206" i="1"/>
  <c r="F206" i="1"/>
  <c r="H378" i="1"/>
  <c r="H376" i="1"/>
  <c r="H241" i="1" l="1"/>
  <c r="J239" i="1"/>
  <c r="I239" i="1"/>
  <c r="H239" i="1"/>
  <c r="G239" i="1"/>
  <c r="F239" i="1"/>
  <c r="J203" i="1"/>
  <c r="K239" i="1"/>
  <c r="K203" i="1"/>
  <c r="J234" i="1"/>
  <c r="I234" i="1"/>
  <c r="H234" i="1"/>
  <c r="J198" i="1"/>
  <c r="J197" i="1"/>
  <c r="H197" i="1"/>
  <c r="F197" i="1"/>
  <c r="G238" i="1" l="1"/>
  <c r="I238" i="1"/>
  <c r="F238" i="1"/>
  <c r="H202" i="1" l="1"/>
  <c r="G277" i="1" l="1"/>
  <c r="H320" i="1"/>
  <c r="J277" i="1"/>
  <c r="J276" i="1"/>
  <c r="G276" i="1"/>
  <c r="H325" i="1" l="1"/>
  <c r="J286" i="1"/>
  <c r="I321" i="1"/>
  <c r="I283" i="1"/>
  <c r="H282" i="1"/>
  <c r="F282" i="1"/>
  <c r="I281" i="1"/>
  <c r="H281" i="1"/>
  <c r="I279" i="1"/>
  <c r="H317" i="1"/>
  <c r="J315" i="1"/>
  <c r="I277" i="1"/>
  <c r="H277" i="1"/>
  <c r="F277" i="1"/>
  <c r="I276" i="1"/>
  <c r="H276" i="1"/>
  <c r="G314" i="1"/>
  <c r="J314" i="1"/>
  <c r="I314" i="1"/>
  <c r="H314" i="1"/>
  <c r="F314" i="1"/>
  <c r="G282" i="1"/>
  <c r="I315" i="1"/>
  <c r="I320" i="1"/>
  <c r="G320" i="1"/>
  <c r="F320" i="1"/>
  <c r="H315" i="1"/>
  <c r="I282" i="1"/>
  <c r="F276" i="1"/>
  <c r="H400" i="1" l="1"/>
  <c r="G209" i="1"/>
  <c r="F209" i="1"/>
  <c r="G208" i="1"/>
  <c r="F208" i="1"/>
  <c r="I207" i="1"/>
  <c r="F205" i="1"/>
  <c r="J205" i="1"/>
  <c r="I205" i="1"/>
  <c r="H205" i="1"/>
  <c r="H200" i="1"/>
  <c r="I200" i="1"/>
  <c r="K197" i="1"/>
  <c r="I243" i="1" l="1"/>
  <c r="G245" i="1" l="1"/>
  <c r="G241" i="1"/>
  <c r="F241" i="1"/>
  <c r="K241" i="1"/>
  <c r="J241" i="1"/>
  <c r="I241" i="1"/>
  <c r="H236" i="1"/>
  <c r="I236" i="1"/>
  <c r="K236" i="1"/>
  <c r="G236" i="1"/>
  <c r="F236" i="1"/>
  <c r="J233" i="1"/>
  <c r="I233" i="1"/>
  <c r="H233" i="1"/>
  <c r="F233" i="1"/>
  <c r="H367" i="1" l="1"/>
  <c r="F367" i="1"/>
  <c r="I360" i="1"/>
  <c r="H360" i="1"/>
  <c r="G360" i="1"/>
  <c r="F360" i="1"/>
  <c r="I358" i="1"/>
  <c r="H358" i="1"/>
  <c r="G358" i="1"/>
  <c r="F358" i="1"/>
  <c r="K360" i="1" l="1"/>
  <c r="K358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C111" i="2" s="1"/>
  <c r="L236" i="1"/>
  <c r="C112" i="2" s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G651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E118" i="2" s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E112" i="2" s="1"/>
  <c r="L319" i="1"/>
  <c r="L320" i="1"/>
  <c r="L321" i="1"/>
  <c r="L322" i="1"/>
  <c r="L323" i="1"/>
  <c r="L324" i="1"/>
  <c r="L325" i="1"/>
  <c r="E124" i="2" s="1"/>
  <c r="L326" i="1"/>
  <c r="L333" i="1"/>
  <c r="L334" i="1"/>
  <c r="L335" i="1"/>
  <c r="L260" i="1"/>
  <c r="L261" i="1"/>
  <c r="L341" i="1"/>
  <c r="L342" i="1"/>
  <c r="E132" i="2" s="1"/>
  <c r="L255" i="1"/>
  <c r="L336" i="1"/>
  <c r="C11" i="13"/>
  <c r="C10" i="13"/>
  <c r="C9" i="13"/>
  <c r="L361" i="1"/>
  <c r="B4" i="12"/>
  <c r="B36" i="12"/>
  <c r="C36" i="12"/>
  <c r="B40" i="12"/>
  <c r="A40" i="12" s="1"/>
  <c r="C40" i="12"/>
  <c r="B27" i="12"/>
  <c r="C27" i="12"/>
  <c r="B31" i="12"/>
  <c r="A31" i="12" s="1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35" i="10" s="1"/>
  <c r="G60" i="1"/>
  <c r="H60" i="1"/>
  <c r="I60" i="1"/>
  <c r="F79" i="1"/>
  <c r="F112" i="1" s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D85" i="2" s="1"/>
  <c r="G162" i="1"/>
  <c r="H147" i="1"/>
  <c r="H162" i="1"/>
  <c r="H169" i="1" s="1"/>
  <c r="I147" i="1"/>
  <c r="I162" i="1"/>
  <c r="C13" i="10"/>
  <c r="L250" i="1"/>
  <c r="L332" i="1"/>
  <c r="L254" i="1"/>
  <c r="L268" i="1"/>
  <c r="L269" i="1"/>
  <c r="L349" i="1"/>
  <c r="L350" i="1"/>
  <c r="I665" i="1"/>
  <c r="I670" i="1"/>
  <c r="L229" i="1"/>
  <c r="G662" i="1"/>
  <c r="I669" i="1"/>
  <c r="C42" i="10"/>
  <c r="C32" i="10"/>
  <c r="L374" i="1"/>
  <c r="L375" i="1"/>
  <c r="L376" i="1"/>
  <c r="L377" i="1"/>
  <c r="L378" i="1"/>
  <c r="F130" i="2" s="1"/>
  <c r="L379" i="1"/>
  <c r="L380" i="1"/>
  <c r="B2" i="10"/>
  <c r="L344" i="1"/>
  <c r="L345" i="1"/>
  <c r="E135" i="2" s="1"/>
  <c r="L346" i="1"/>
  <c r="E137" i="2" s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1" i="2"/>
  <c r="K270" i="1"/>
  <c r="L270" i="1" s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F18" i="2" s="1"/>
  <c r="I441" i="1"/>
  <c r="J12" i="1" s="1"/>
  <c r="G11" i="2" s="1"/>
  <c r="C12" i="2"/>
  <c r="C18" i="2" s="1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E31" i="2" s="1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E57" i="2"/>
  <c r="C58" i="2"/>
  <c r="E58" i="2"/>
  <c r="C59" i="2"/>
  <c r="D59" i="2"/>
  <c r="E59" i="2"/>
  <c r="F59" i="2"/>
  <c r="D60" i="2"/>
  <c r="D62" i="2" s="1"/>
  <c r="D63" i="2" s="1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E85" i="2"/>
  <c r="F85" i="2"/>
  <c r="C87" i="2"/>
  <c r="E87" i="2"/>
  <c r="F87" i="2"/>
  <c r="C88" i="2"/>
  <c r="C91" i="2" s="1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E111" i="2"/>
  <c r="C113" i="2"/>
  <c r="E113" i="2"/>
  <c r="C114" i="2"/>
  <c r="E114" i="2"/>
  <c r="D115" i="2"/>
  <c r="F115" i="2"/>
  <c r="G115" i="2"/>
  <c r="E120" i="2"/>
  <c r="E121" i="2"/>
  <c r="E122" i="2"/>
  <c r="E123" i="2"/>
  <c r="E125" i="2"/>
  <c r="F128" i="2"/>
  <c r="G128" i="2"/>
  <c r="C130" i="2"/>
  <c r="E130" i="2"/>
  <c r="D134" i="2"/>
  <c r="D144" i="2" s="1"/>
  <c r="E134" i="2"/>
  <c r="F134" i="2"/>
  <c r="K419" i="1"/>
  <c r="K427" i="1"/>
  <c r="K433" i="1"/>
  <c r="L263" i="1"/>
  <c r="C135" i="2" s="1"/>
  <c r="L264" i="1"/>
  <c r="C136" i="2" s="1"/>
  <c r="L265" i="1"/>
  <c r="C137" i="2" s="1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I19" i="1"/>
  <c r="F32" i="1"/>
  <c r="F52" i="1" s="1"/>
  <c r="H617" i="1" s="1"/>
  <c r="G32" i="1"/>
  <c r="H32" i="1"/>
  <c r="I32" i="1"/>
  <c r="G52" i="1"/>
  <c r="H618" i="1" s="1"/>
  <c r="H51" i="1"/>
  <c r="H52" i="1" s="1"/>
  <c r="H619" i="1" s="1"/>
  <c r="I51" i="1"/>
  <c r="F177" i="1"/>
  <c r="F192" i="1" s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H634" i="1" s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H644" i="1" s="1"/>
  <c r="J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I446" i="1"/>
  <c r="G642" i="1" s="1"/>
  <c r="F452" i="1"/>
  <c r="G452" i="1"/>
  <c r="H452" i="1"/>
  <c r="I452" i="1"/>
  <c r="F460" i="1"/>
  <c r="G460" i="1"/>
  <c r="H460" i="1"/>
  <c r="I460" i="1"/>
  <c r="F461" i="1"/>
  <c r="G461" i="1"/>
  <c r="H640" i="1" s="1"/>
  <c r="H461" i="1"/>
  <c r="I461" i="1"/>
  <c r="H642" i="1" s="1"/>
  <c r="F470" i="1"/>
  <c r="G470" i="1"/>
  <c r="H470" i="1"/>
  <c r="I470" i="1"/>
  <c r="I476" i="1" s="1"/>
  <c r="H625" i="1" s="1"/>
  <c r="J470" i="1"/>
  <c r="F474" i="1"/>
  <c r="F476" i="1" s="1"/>
  <c r="H622" i="1" s="1"/>
  <c r="G474" i="1"/>
  <c r="H474" i="1"/>
  <c r="I474" i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I545" i="1" s="1"/>
  <c r="J534" i="1"/>
  <c r="K534" i="1"/>
  <c r="K545" i="1" s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9" i="1"/>
  <c r="G620" i="1"/>
  <c r="G622" i="1"/>
  <c r="G623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H639" i="1"/>
  <c r="G641" i="1"/>
  <c r="H641" i="1"/>
  <c r="G643" i="1"/>
  <c r="H643" i="1"/>
  <c r="G644" i="1"/>
  <c r="G645" i="1"/>
  <c r="H645" i="1"/>
  <c r="G650" i="1"/>
  <c r="G652" i="1"/>
  <c r="H652" i="1"/>
  <c r="G653" i="1"/>
  <c r="H653" i="1"/>
  <c r="G654" i="1"/>
  <c r="H654" i="1"/>
  <c r="H655" i="1"/>
  <c r="L256" i="1"/>
  <c r="C26" i="10"/>
  <c r="D18" i="13"/>
  <c r="C18" i="13" s="1"/>
  <c r="D17" i="13"/>
  <c r="C17" i="13" s="1"/>
  <c r="F78" i="2"/>
  <c r="F81" i="2" s="1"/>
  <c r="D31" i="2"/>
  <c r="D50" i="2"/>
  <c r="G157" i="2"/>
  <c r="E103" i="2"/>
  <c r="E62" i="2"/>
  <c r="E63" i="2" s="1"/>
  <c r="G62" i="2"/>
  <c r="D19" i="13"/>
  <c r="C19" i="13" s="1"/>
  <c r="E78" i="2"/>
  <c r="E81" i="2" s="1"/>
  <c r="L427" i="1"/>
  <c r="H112" i="1"/>
  <c r="J641" i="1"/>
  <c r="K605" i="1"/>
  <c r="G648" i="1" s="1"/>
  <c r="J571" i="1"/>
  <c r="K571" i="1"/>
  <c r="L433" i="1"/>
  <c r="L419" i="1"/>
  <c r="D81" i="2"/>
  <c r="I169" i="1"/>
  <c r="J643" i="1"/>
  <c r="J476" i="1"/>
  <c r="H626" i="1" s="1"/>
  <c r="G476" i="1"/>
  <c r="H623" i="1" s="1"/>
  <c r="F169" i="1"/>
  <c r="J140" i="1"/>
  <c r="F571" i="1"/>
  <c r="I552" i="1"/>
  <c r="K550" i="1"/>
  <c r="G22" i="2"/>
  <c r="J552" i="1"/>
  <c r="C29" i="10"/>
  <c r="H140" i="1"/>
  <c r="L393" i="1"/>
  <c r="C138" i="2" s="1"/>
  <c r="F22" i="13"/>
  <c r="H571" i="1"/>
  <c r="L560" i="1"/>
  <c r="H192" i="1"/>
  <c r="L309" i="1"/>
  <c r="J655" i="1"/>
  <c r="J645" i="1"/>
  <c r="L570" i="1"/>
  <c r="I571" i="1"/>
  <c r="G36" i="2"/>
  <c r="L565" i="1"/>
  <c r="C22" i="13"/>
  <c r="K503" i="1" l="1"/>
  <c r="A13" i="12"/>
  <c r="H552" i="1"/>
  <c r="L534" i="1"/>
  <c r="L529" i="1"/>
  <c r="K551" i="1"/>
  <c r="G545" i="1"/>
  <c r="G552" i="1"/>
  <c r="J545" i="1"/>
  <c r="H545" i="1"/>
  <c r="F552" i="1"/>
  <c r="K549" i="1"/>
  <c r="L524" i="1"/>
  <c r="K598" i="1"/>
  <c r="G647" i="1" s="1"/>
  <c r="J651" i="1"/>
  <c r="J625" i="1"/>
  <c r="G624" i="1"/>
  <c r="K352" i="1"/>
  <c r="C12" i="10"/>
  <c r="C25" i="10"/>
  <c r="L351" i="1"/>
  <c r="C19" i="10"/>
  <c r="E13" i="13"/>
  <c r="C13" i="13" s="1"/>
  <c r="C122" i="2"/>
  <c r="H25" i="13"/>
  <c r="C25" i="13" s="1"/>
  <c r="C132" i="2"/>
  <c r="C20" i="10"/>
  <c r="J636" i="1"/>
  <c r="H33" i="13"/>
  <c r="H647" i="1"/>
  <c r="K257" i="1"/>
  <c r="K271" i="1" s="1"/>
  <c r="C120" i="2"/>
  <c r="E8" i="13"/>
  <c r="C8" i="13" s="1"/>
  <c r="L328" i="1"/>
  <c r="C17" i="10"/>
  <c r="H338" i="1"/>
  <c r="H352" i="1" s="1"/>
  <c r="C15" i="10"/>
  <c r="E109" i="2"/>
  <c r="E115" i="2" s="1"/>
  <c r="G338" i="1"/>
  <c r="G352" i="1" s="1"/>
  <c r="F338" i="1"/>
  <c r="F352" i="1" s="1"/>
  <c r="E119" i="2"/>
  <c r="E128" i="2" s="1"/>
  <c r="J338" i="1"/>
  <c r="J352" i="1" s="1"/>
  <c r="C11" i="10"/>
  <c r="L290" i="1"/>
  <c r="C10" i="10"/>
  <c r="I52" i="1"/>
  <c r="H620" i="1" s="1"/>
  <c r="J640" i="1"/>
  <c r="J639" i="1"/>
  <c r="L401" i="1"/>
  <c r="C139" i="2" s="1"/>
  <c r="H476" i="1"/>
  <c r="H624" i="1" s="1"/>
  <c r="J624" i="1" s="1"/>
  <c r="F662" i="1"/>
  <c r="G649" i="1"/>
  <c r="J649" i="1" s="1"/>
  <c r="C124" i="2"/>
  <c r="C21" i="10"/>
  <c r="C125" i="2"/>
  <c r="D14" i="13"/>
  <c r="C14" i="13" s="1"/>
  <c r="C123" i="2"/>
  <c r="J257" i="1"/>
  <c r="J271" i="1" s="1"/>
  <c r="C119" i="2"/>
  <c r="I257" i="1"/>
  <c r="I271" i="1" s="1"/>
  <c r="D6" i="13"/>
  <c r="C6" i="13" s="1"/>
  <c r="C118" i="2"/>
  <c r="H662" i="1"/>
  <c r="D15" i="13"/>
  <c r="C15" i="13" s="1"/>
  <c r="E16" i="13"/>
  <c r="D12" i="13"/>
  <c r="C12" i="13" s="1"/>
  <c r="C18" i="10"/>
  <c r="C121" i="2"/>
  <c r="C16" i="10"/>
  <c r="D7" i="13"/>
  <c r="C7" i="13" s="1"/>
  <c r="C110" i="2"/>
  <c r="L247" i="1"/>
  <c r="H660" i="1" s="1"/>
  <c r="F257" i="1"/>
  <c r="F271" i="1" s="1"/>
  <c r="H257" i="1"/>
  <c r="H271" i="1" s="1"/>
  <c r="G257" i="1"/>
  <c r="G271" i="1" s="1"/>
  <c r="D5" i="13"/>
  <c r="C5" i="13" s="1"/>
  <c r="C109" i="2"/>
  <c r="L211" i="1"/>
  <c r="C70" i="2"/>
  <c r="C78" i="2"/>
  <c r="C57" i="2"/>
  <c r="C62" i="2" s="1"/>
  <c r="C56" i="2"/>
  <c r="J622" i="1"/>
  <c r="J617" i="1"/>
  <c r="J623" i="1"/>
  <c r="D18" i="2"/>
  <c r="D91" i="2"/>
  <c r="J634" i="1"/>
  <c r="H661" i="1"/>
  <c r="L362" i="1"/>
  <c r="C27" i="10" s="1"/>
  <c r="G661" i="1"/>
  <c r="F661" i="1"/>
  <c r="D127" i="2"/>
  <c r="D128" i="2" s="1"/>
  <c r="D145" i="2" s="1"/>
  <c r="D29" i="13"/>
  <c r="C29" i="13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31" i="13"/>
  <c r="G33" i="13" s="1"/>
  <c r="I338" i="1"/>
  <c r="I352" i="1" s="1"/>
  <c r="J650" i="1"/>
  <c r="L407" i="1"/>
  <c r="C140" i="2" s="1"/>
  <c r="L571" i="1"/>
  <c r="I192" i="1"/>
  <c r="E91" i="2"/>
  <c r="E104" i="2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J652" i="1"/>
  <c r="J642" i="1"/>
  <c r="G571" i="1"/>
  <c r="I434" i="1"/>
  <c r="G434" i="1"/>
  <c r="I663" i="1"/>
  <c r="L545" i="1" l="1"/>
  <c r="K552" i="1"/>
  <c r="J647" i="1"/>
  <c r="H648" i="1"/>
  <c r="J648" i="1" s="1"/>
  <c r="E145" i="2"/>
  <c r="D31" i="13"/>
  <c r="C31" i="13" s="1"/>
  <c r="L338" i="1"/>
  <c r="L352" i="1" s="1"/>
  <c r="G633" i="1" s="1"/>
  <c r="J633" i="1" s="1"/>
  <c r="F660" i="1"/>
  <c r="I660" i="1" s="1"/>
  <c r="L408" i="1"/>
  <c r="G637" i="1" s="1"/>
  <c r="J637" i="1" s="1"/>
  <c r="C141" i="2"/>
  <c r="C144" i="2" s="1"/>
  <c r="I662" i="1"/>
  <c r="C128" i="2"/>
  <c r="C115" i="2"/>
  <c r="E33" i="13"/>
  <c r="D35" i="13" s="1"/>
  <c r="C16" i="13"/>
  <c r="C28" i="10"/>
  <c r="D22" i="10" s="1"/>
  <c r="L257" i="1"/>
  <c r="L271" i="1" s="1"/>
  <c r="G632" i="1" s="1"/>
  <c r="J632" i="1" s="1"/>
  <c r="C81" i="2"/>
  <c r="C63" i="2"/>
  <c r="H664" i="1"/>
  <c r="H667" i="1" s="1"/>
  <c r="G664" i="1"/>
  <c r="G667" i="1" s="1"/>
  <c r="G635" i="1"/>
  <c r="J635" i="1" s="1"/>
  <c r="I661" i="1"/>
  <c r="F664" i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D33" i="13" l="1"/>
  <c r="D36" i="13" s="1"/>
  <c r="H646" i="1"/>
  <c r="J646" i="1" s="1"/>
  <c r="C145" i="2"/>
  <c r="D13" i="10"/>
  <c r="D11" i="10"/>
  <c r="D21" i="10"/>
  <c r="D24" i="10"/>
  <c r="D27" i="10"/>
  <c r="D18" i="10"/>
  <c r="D17" i="10"/>
  <c r="D12" i="10"/>
  <c r="D23" i="10"/>
  <c r="D10" i="10"/>
  <c r="D26" i="10"/>
  <c r="C30" i="10"/>
  <c r="D16" i="10"/>
  <c r="D20" i="10"/>
  <c r="D15" i="10"/>
  <c r="D25" i="10"/>
  <c r="D19" i="10"/>
  <c r="C104" i="2"/>
  <c r="H672" i="1"/>
  <c r="C6" i="10" s="1"/>
  <c r="I664" i="1"/>
  <c r="I672" i="1" s="1"/>
  <c r="C7" i="10" s="1"/>
  <c r="G672" i="1"/>
  <c r="C5" i="10" s="1"/>
  <c r="F672" i="1"/>
  <c r="C4" i="10" s="1"/>
  <c r="F667" i="1"/>
  <c r="C41" i="10"/>
  <c r="D38" i="10" s="1"/>
  <c r="H656" i="1" l="1"/>
  <c r="D28" i="10"/>
  <c r="I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<sst xmlns="http://schemas.openxmlformats.org/spreadsheetml/2006/main" count="3959" uniqueCount="915">
  <si>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</si>
  <si>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</si>
  <si>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</si>
  <si>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</si>
  <si>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</si>
  <si>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</si>
  <si>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</si>
  <si>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</si>
  <si>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</si>
  <si>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</si>
  <si>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</si>
  <si>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</si>
  <si>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</si>
  <si>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</si>
  <si>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</si>
  <si>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</si>
  <si>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</si>
  <si>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</si>
  <si>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</si>
  <si>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</si>
  <si>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</si>
  <si>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</si>
  <si>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</si>
  <si>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</si>
  <si>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</si>
  <si>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</si>
  <si>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</si>
  <si>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</si>
  <si>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</si>
  <si>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</si>
  <si>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</si>
  <si>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</si>
  <si>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</si>
  <si>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</si>
  <si>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</si>
  <si>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</si>
  <si>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</si>
  <si>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</si>
  <si>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</si>
  <si>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</si>
  <si>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</si>
  <si>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</si>
  <si>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</si>
  <si>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</si>
  <si>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</si>
  <si>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</si>
  <si>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</si>
  <si>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</si>
  <si>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</si>
  <si>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</si>
  <si>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</si>
  <si>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</si>
  <si>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</si>
  <si>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</si>
  <si>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</si>
  <si>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</si>
  <si>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</si>
  <si>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</si>
  <si>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</si>
  <si>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</si>
  <si>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</si>
  <si>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</si>
  <si>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</si>
  <si>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</si>
  <si>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</si>
  <si>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</si>
  <si>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</si>
  <si>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</si>
  <si>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</si>
  <si>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</si>
  <si>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</si>
  <si>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</si>
  <si>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</si>
  <si>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</si>
  <si>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</si>
  <si>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</si>
  <si>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</si>
  <si>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</si>
  <si>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</si>
  <si>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</si>
  <si>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</si>
  <si>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</si>
  <si>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</si>
  <si>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</si>
  <si>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</si>
  <si>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</si>
  <si>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</si>
  <si>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</si>
  <si>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</si>
  <si>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</si>
  <si>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</si>
  <si>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</si>
  <si>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</si>
  <si>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</si>
  <si>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</si>
  <si>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</si>
  <si>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</si>
  <si>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</si>
  <si>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</si>
  <si>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</si>
  <si>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</si>
  <si>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</si>
  <si>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</si>
  <si>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</si>
  <si>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</si>
  <si>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</si>
  <si>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</si>
  <si>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</si>
  <si>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</si>
  <si>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</si>
  <si>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</si>
  <si>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</si>
  <si>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</si>
  <si>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</si>
  <si>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</si>
  <si>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</si>
  <si>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</si>
  <si>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</si>
  <si>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</si>
  <si>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</si>
  <si>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</si>
  <si>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</si>
  <si>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</si>
  <si>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</si>
  <si>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</si>
  <si>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</si>
  <si>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</si>
  <si>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</si>
  <si>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</si>
  <si>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</si>
  <si>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</si>
  <si>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</si>
  <si>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</si>
  <si>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</si>
  <si>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</si>
  <si>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</si>
  <si>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</si>
  <si>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</si>
  <si>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</si>
  <si>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</si>
  <si>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</si>
  <si>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</si>
  <si>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</si>
  <si>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</si>
  <si>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</si>
  <si>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</si>
  <si>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</si>
  <si>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</si>
  <si>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</si>
  <si>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</si>
  <si>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</si>
  <si>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</si>
  <si>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</si>
  <si>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</si>
  <si>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</si>
  <si>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</si>
  <si>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</si>
  <si>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</si>
  <si>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</si>
  <si>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</si>
  <si>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</si>
  <si>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</si>
  <si>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</si>
  <si>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</si>
  <si>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</si>
  <si>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</si>
  <si>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</si>
  <si>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</si>
  <si>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</si>
  <si>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</si>
  <si>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</si>
  <si>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</si>
  <si>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</si>
  <si>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</si>
  <si>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</si>
  <si>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</si>
  <si>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</si>
  <si>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</si>
  <si>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</si>
  <si>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</si>
  <si>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</si>
  <si>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</si>
  <si>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</si>
  <si>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</si>
  <si>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</si>
  <si>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</si>
  <si>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</si>
  <si>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</si>
  <si>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</si>
  <si>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</si>
  <si>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</si>
  <si>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</si>
  <si>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</si>
  <si>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</si>
  <si>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</si>
  <si>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</si>
  <si>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</si>
  <si>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</si>
  <si>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</si>
  <si>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</si>
  <si>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</si>
  <si>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</si>
  <si>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</si>
  <si>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</si>
  <si>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</si>
  <si>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</si>
  <si>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</si>
  <si>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</si>
  <si>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</si>
  <si>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</si>
  <si>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</si>
  <si>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</si>
  <si>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</si>
  <si>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</si>
  <si>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</si>
  <si>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</si>
  <si>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</si>
  <si>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</si>
  <si>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</si>
  <si>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</si>
  <si>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</si>
  <si>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</si>
  <si>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</si>
  <si>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</si>
  <si>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</si>
  <si>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</si>
  <si>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</si>
  <si>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</si>
  <si>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</si>
  <si>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</si>
  <si>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</si>
  <si>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</si>
  <si>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</si>
  <si>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</si>
  <si>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</si>
  <si>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</si>
  <si>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</si>
  <si>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</si>
  <si>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</si>
  <si>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</si>
  <si>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</si>
  <si>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</si>
  <si>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</si>
  <si>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</si>
  <si>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</si>
  <si>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</si>
  <si>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</si>
  <si>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</si>
  <si>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</si>
  <si>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</si>
  <si>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</si>
  <si>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</si>
  <si>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</si>
  <si>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</si>
  <si>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</si>
  <si>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</si>
  <si>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</si>
  <si>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</si>
  <si>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</si>
  <si>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</si>
  <si>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</si>
  <si>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</si>
  <si>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</si>
  <si>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</si>
  <si>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</si>
  <si>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</si>
  <si>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</si>
  <si>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</si>
  <si>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</si>
  <si>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</si>
  <si>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</si>
  <si>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</si>
  <si>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</si>
  <si>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</si>
  <si>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</si>
  <si>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</si>
  <si>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</si>
  <si>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</si>
  <si>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</si>
  <si>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</si>
  <si>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</si>
  <si>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</si>
  <si>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</si>
  <si>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</si>
  <si>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</si>
  <si>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</si>
  <si>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</si>
  <si>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</si>
  <si>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</si>
  <si>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</si>
  <si>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</si>
  <si>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</si>
  <si>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</si>
  <si>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</si>
  <si>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</si>
  <si>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</si>
  <si>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</si>
  <si>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</si>
  <si>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</si>
  <si>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</si>
  <si>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</si>
  <si>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</si>
  <si>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</si>
  <si>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</si>
  <si>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</si>
  <si>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</si>
  <si>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</si>
  <si>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</si>
  <si>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</si>
  <si>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</si>
  <si>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</si>
  <si>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</si>
  <si>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</si>
  <si>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</si>
  <si>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</si>
  <si>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</si>
  <si>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</si>
  <si>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</si>
  <si>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</si>
  <si>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</si>
  <si>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</si>
  <si>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</si>
  <si>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</si>
  <si>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</si>
  <si>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</si>
  <si>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</si>
  <si>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</si>
  <si>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</si>
  <si>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</si>
  <si>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</si>
  <si>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</si>
  <si>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</si>
  <si>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</si>
  <si>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</si>
  <si>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</si>
  <si>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</si>
  <si>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</si>
  <si>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</si>
  <si>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</si>
  <si>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</si>
  <si>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</si>
  <si>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</si>
  <si>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</si>
  <si>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</si>
  <si>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</si>
  <si>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</si>
  <si>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</si>
  <si>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</si>
  <si>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</si>
  <si>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</si>
  <si>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</si>
  <si>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</si>
  <si>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</si>
  <si>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</si>
  <si>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</si>
  <si>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</si>
  <si>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</si>
  <si>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</si>
  <si>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</si>
  <si>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</si>
  <si>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</si>
  <si>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</si>
  <si>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</si>
  <si>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</si>
  <si>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</si>
  <si>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</si>
  <si>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</si>
  <si>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</si>
  <si>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</si>
  <si>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</si>
  <si>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</si>
  <si>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</si>
  <si>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</si>
  <si>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</si>
  <si>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</si>
  <si>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</si>
  <si>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</si>
  <si>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</si>
  <si>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</si>
  <si>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</si>
  <si>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</si>
  <si>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</si>
  <si>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</si>
  <si>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</si>
  <si>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</si>
  <si>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</si>
  <si>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</si>
  <si>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</si>
  <si>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</si>
  <si>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</si>
  <si>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</si>
  <si>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</si>
  <si>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</si>
  <si>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</si>
  <si>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</si>
  <si>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</si>
  <si>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</si>
  <si>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</si>
  <si>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</si>
  <si>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</si>
  <si>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</si>
  <si>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</si>
  <si>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</si>
  <si>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</si>
  <si>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</si>
  <si>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</si>
  <si>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</si>
  <si>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</si>
  <si>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</si>
  <si>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</si>
  <si>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</si>
  <si>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</si>
  <si>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</si>
  <si>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</si>
  <si>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</si>
  <si>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</si>
  <si>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</si>
  <si>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</si>
  <si>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</si>
  <si>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</si>
  <si>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</si>
  <si>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</si>
  <si>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</si>
  <si>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</si>
  <si>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</si>
  <si>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</si>
  <si>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</si>
  <si>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</si>
  <si>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</si>
  <si>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</si>
  <si>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</si>
  <si>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</si>
  <si>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</si>
  <si>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</si>
  <si>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</si>
  <si>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</si>
  <si>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</si>
  <si>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</si>
  <si>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</si>
  <si>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</si>
  <si>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</si>
  <si>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</si>
  <si>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</si>
  <si>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</si>
  <si>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</si>
  <si>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</si>
  <si>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</si>
  <si>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</si>
  <si>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</si>
  <si>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</si>
  <si>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</si>
  <si>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</si>
  <si>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</si>
  <si>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</si>
  <si>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</si>
  <si>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</si>
  <si>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</si>
  <si>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</si>
  <si>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</si>
  <si>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</si>
  <si>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</si>
  <si>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</si>
  <si>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</si>
  <si>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</si>
  <si>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</si>
  <si>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</si>
  <si>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</si>
  <si>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</si>
  <si>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</si>
  <si>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</si>
  <si>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</si>
  <si>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</si>
  <si>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</si>
  <si>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</si>
  <si>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</si>
  <si>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</si>
  <si>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</si>
  <si>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</si>
  <si>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</si>
  <si>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</si>
  <si>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</si>
  <si>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</si>
  <si>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</si>
  <si>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</si>
  <si>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</si>
  <si>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</si>
  <si>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</si>
  <si>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</si>
  <si>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</si>
  <si>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</si>
  <si>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</si>
  <si>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</si>
  <si>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</si>
  <si>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</si>
  <si>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</si>
  <si>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</si>
  <si>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</si>
  <si>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</si>
  <si>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</si>
  <si>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</si>
  <si>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</si>
  <si>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</si>
  <si>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</si>
  <si>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</si>
  <si>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</si>
  <si>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</si>
  <si>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</si>
  <si>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</si>
  <si>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</si>
  <si>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</si>
  <si>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</si>
  <si>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</si>
  <si>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</si>
  <si>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</si>
  <si>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</si>
  <si>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</si>
  <si>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</si>
  <si>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</si>
  <si>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</si>
  <si>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</si>
  <si>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</si>
  <si>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</si>
  <si>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</si>
  <si>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</si>
  <si>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</si>
  <si>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</si>
  <si>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</si>
  <si>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</si>
  <si>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</si>
  <si>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</si>
  <si>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</si>
  <si>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</si>
  <si>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</si>
  <si>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</si>
  <si>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</si>
  <si>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</si>
  <si>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</si>
  <si>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</si>
  <si>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</si>
  <si>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</si>
  <si>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</si>
  <si>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</si>
  <si>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</si>
  <si>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</si>
  <si>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</si>
  <si>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</si>
  <si>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</si>
  <si>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</si>
  <si>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</si>
  <si>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</si>
  <si>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</si>
  <si>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</si>
  <si>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</si>
  <si>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</si>
  <si>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</si>
  <si>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</si>
  <si>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</si>
  <si>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</si>
  <si>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</si>
  <si>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</si>
  <si>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</si>
  <si>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</si>
  <si>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</si>
  <si>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</si>
  <si>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</si>
  <si>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</si>
  <si>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</si>
  <si>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</si>
  <si>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</si>
  <si>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</si>
  <si>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</si>
  <si>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</si>
  <si>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</si>
  <si>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</si>
  <si>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</si>
  <si>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</si>
  <si>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</si>
  <si>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</si>
  <si>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</si>
  <si>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</si>
  <si>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</si>
  <si>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</si>
  <si>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</si>
  <si>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</si>
  <si>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</si>
  <si>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</si>
  <si>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</si>
  <si>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</si>
  <si>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</si>
  <si>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</si>
  <si>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</si>
  <si>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</si>
  <si>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</si>
  <si>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</si>
  <si>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</si>
  <si>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</si>
  <si>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</si>
  <si>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</si>
  <si>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</si>
  <si>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</si>
  <si>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</si>
  <si>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</si>
  <si>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</si>
  <si>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</si>
  <si>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</si>
  <si>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</si>
  <si>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</si>
  <si>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</si>
  <si>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</si>
  <si>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</si>
  <si>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</si>
  <si>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</si>
  <si>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</si>
  <si>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</si>
  <si>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</si>
  <si>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</si>
  <si>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</si>
  <si>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</si>
  <si>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</si>
  <si>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</si>
  <si>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</si>
  <si>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</si>
  <si>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</si>
  <si>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</si>
  <si>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</si>
  <si>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</si>
  <si>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</si>
  <si>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</si>
  <si>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</si>
  <si>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</si>
  <si>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</si>
  <si>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</si>
  <si>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</si>
  <si>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</si>
  <si>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</si>
  <si>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</si>
  <si>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</si>
  <si>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</si>
  <si>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</si>
  <si>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</si>
  <si>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</si>
  <si>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</si>
  <si>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</si>
  <si>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</si>
  <si>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</si>
  <si>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</si>
  <si>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</si>
  <si>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</si>
  <si>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</si>
  <si>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</si>
  <si>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</si>
  <si>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</si>
  <si>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</si>
  <si>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</si>
  <si>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</si>
  <si>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</si>
  <si>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</si>
  <si>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</si>
  <si>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</si>
  <si>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</si>
  <si>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</si>
  <si>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</si>
  <si>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</si>
  <si>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</si>
  <si>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</si>
  <si>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</si>
  <si>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</si>
  <si>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</si>
  <si>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</si>
  <si>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</si>
  <si>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</si>
  <si>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</si>
  <si>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</si>
  <si>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</si>
  <si>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</si>
  <si>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</si>
  <si>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</si>
  <si>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</si>
  <si>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</si>
  <si>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</si>
  <si>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</si>
  <si>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</si>
  <si>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</si>
  <si>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</si>
  <si>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</si>
  <si>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</si>
  <si>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</si>
  <si>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</si>
  <si>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</si>
  <si>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</si>
  <si>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</si>
  <si>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</si>
  <si>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</si>
  <si>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</si>
  <si>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</si>
  <si>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</si>
  <si>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</si>
  <si>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</si>
  <si>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</si>
  <si>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</si>
  <si>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</si>
  <si>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</si>
  <si>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</si>
  <si>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</si>
  <si>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</si>
  <si>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</si>
  <si>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</si>
  <si>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</si>
  <si>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</si>
  <si>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</si>
  <si>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</si>
  <si>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</si>
  <si>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</si>
  <si>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</si>
  <si>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</si>
  <si>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</si>
  <si>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</si>
  <si>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</si>
  <si>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</si>
  <si>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</si>
  <si>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</si>
  <si>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</si>
  <si>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</si>
  <si>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</si>
  <si>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</si>
  <si>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</si>
  <si>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</si>
  <si>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</si>
  <si>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</si>
  <si>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</si>
  <si>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</si>
  <si>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</si>
  <si>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</si>
  <si>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</si>
  <si>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</si>
  <si>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</si>
  <si>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</si>
  <si>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</si>
  <si>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</si>
  <si>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</si>
  <si>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</si>
  <si>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</si>
  <si>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</si>
  <si>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</si>
  <si>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</si>
  <si>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</si>
  <si>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</si>
  <si>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</si>
  <si>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</si>
  <si>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</si>
  <si>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</si>
  <si>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</si>
  <si>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</si>
  <si>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</si>
  <si>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</si>
  <si>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</si>
  <si>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</si>
  <si>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</si>
  <si>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</si>
  <si>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</si>
  <si>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</si>
  <si>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</si>
  <si>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</si>
  <si>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</si>
  <si>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</si>
  <si>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</si>
  <si>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</si>
  <si>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</si>
  <si>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</si>
  <si>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</si>
  <si>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</si>
  <si>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</si>
  <si>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</si>
  <si>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</si>
  <si>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</si>
  <si>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</si>
  <si>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</si>
  <si>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</si>
  <si>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</si>
  <si>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</si>
  <si>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</si>
  <si>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</si>
  <si>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</si>
  <si>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</si>
  <si>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</si>
  <si>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</si>
  <si>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</si>
  <si>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</si>
  <si>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</si>
  <si>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</si>
  <si>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</si>
  <si>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</si>
  <si>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</si>
  <si>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</si>
  <si>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</si>
  <si>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</si>
  <si>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</si>
  <si>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</si>
  <si>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</si>
  <si>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</si>
  <si>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</si>
  <si>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</si>
  <si>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</si>
  <si>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</si>
  <si>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</si>
  <si>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</si>
  <si>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</si>
  <si>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</si>
  <si>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</si>
  <si>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</si>
  <si>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</si>
  <si>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</si>
  <si>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</si>
  <si>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</si>
  <si>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</si>
  <si>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</si>
  <si>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</si>
  <si>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</si>
  <si>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</si>
  <si>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</si>
  <si>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</si>
  <si>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</si>
  <si>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</si>
  <si>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</si>
  <si>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</si>
  <si>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</si>
  <si>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</si>
  <si>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</si>
  <si>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</si>
  <si>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</si>
  <si>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</si>
  <si>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</si>
  <si>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</si>
  <si>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</si>
  <si>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</si>
  <si>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</si>
  <si>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</si>
  <si>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</si>
  <si>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</si>
  <si>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</si>
  <si>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</si>
  <si>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</si>
  <si>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</si>
  <si>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</si>
  <si>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</si>
  <si>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</si>
  <si>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</si>
  <si>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</si>
  <si>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</si>
  <si>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</si>
  <si>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</si>
  <si>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</si>
  <si>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</si>
  <si>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</si>
  <si>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</si>
  <si>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</si>
  <si>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</si>
  <si>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</si>
  <si>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</si>
  <si>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</si>
  <si>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</si>
  <si>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</si>
  <si>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</si>
  <si>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</si>
  <si>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</si>
  <si>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</si>
  <si>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</si>
  <si>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</si>
  <si>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</si>
  <si>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</si>
  <si>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</si>
  <si>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</si>
  <si>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</si>
  <si>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</si>
  <si>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</si>
  <si>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</si>
  <si>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</si>
  <si>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</si>
  <si>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</si>
  <si>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</si>
  <si>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</si>
  <si>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</si>
  <si>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</si>
  <si>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</si>
  <si>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</si>
  <si>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</si>
  <si>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</si>
  <si>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</si>
  <si>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</si>
  <si>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</si>
  <si>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</si>
  <si>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</si>
  <si>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</si>
  <si>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</si>
  <si>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</si>
  <si>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</si>
  <si>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</si>
  <si>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</si>
  <si>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</si>
  <si>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</si>
  <si>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</si>
  <si>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</si>
  <si>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</si>
  <si>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</si>
  <si>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</si>
  <si>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</si>
  <si>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</si>
  <si>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</si>
  <si>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</si>
  <si>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</si>
  <si>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</si>
  <si>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</si>
  <si>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08/15/17</t>
  </si>
  <si>
    <t>8/15/46</t>
  </si>
  <si>
    <t>Newmarket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</si>
</sst>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1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914</v>
      </c>
      <c r="B2" s="21">
        <v>399</v>
      </c>
      <c r="C2" s="21">
        <v>399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1311619.68</v>
      </c>
      <c r="G9" s="18"/>
      <c r="H9" s="18">
        <f>19651.2-502.5</f>
        <v>19148.7</v>
      </c>
      <c r="I9" s="18">
        <v>4182695.92</v>
      </c>
      <c r="J9" s="67">
        <f>SUM(I439)</f>
        <v>726890.17999999993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>
        <v>30950000</v>
      </c>
      <c r="J10" s="67">
        <f>SUM(I440)</f>
        <v>0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/>
      <c r="G12" s="18"/>
      <c r="H12" s="18">
        <v>502.5</v>
      </c>
      <c r="I12" s="18">
        <v>38726.589999999997</v>
      </c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74887.360000000001</v>
      </c>
      <c r="G13" s="18">
        <v>9790.61</v>
      </c>
      <c r="H13" s="18"/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>
        <v>8703.02</v>
      </c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>
        <v>-4034.57</v>
      </c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1386507.04</v>
      </c>
      <c r="G19" s="41">
        <f>SUM(G9:G18)</f>
        <v>14459.060000000001</v>
      </c>
      <c r="H19" s="41">
        <f>SUM(H9:H18)</f>
        <v>19651.2</v>
      </c>
      <c r="I19" s="41">
        <f>SUM(I9:I18)</f>
        <v>35171422.510000005</v>
      </c>
      <c r="J19" s="41">
        <f>SUM(J9:J18)</f>
        <v>726890.17999999993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>
        <v>-3810.71</v>
      </c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587389.05000000005</v>
      </c>
      <c r="G24" s="18"/>
      <c r="H24" s="18"/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>
        <v>995178.59</v>
      </c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/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/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/>
      <c r="G30" s="18"/>
      <c r="H30" s="18"/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587389.05000000005</v>
      </c>
      <c r="G32" s="41">
        <f>SUM(G22:G31)</f>
        <v>-3810.71</v>
      </c>
      <c r="H32" s="41">
        <f>SUM(H22:H31)</f>
        <v>0</v>
      </c>
      <c r="I32" s="41">
        <f>SUM(I22:I31)</f>
        <v>995178.59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>
        <v>18269.77</v>
      </c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/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>
        <v>365075</v>
      </c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/>
      <c r="H48" s="18">
        <v>19651.2</v>
      </c>
      <c r="I48" s="18">
        <v>34176243.920000002</v>
      </c>
      <c r="J48" s="13">
        <f>SUM(I459)</f>
        <v>726890.17999999993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>
        <v>53111.97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380931.02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799117.99</v>
      </c>
      <c r="G51" s="41">
        <f>SUM(G35:G50)</f>
        <v>18269.77</v>
      </c>
      <c r="H51" s="41">
        <f>SUM(H35:H50)</f>
        <v>19651.2</v>
      </c>
      <c r="I51" s="41">
        <f>SUM(I35:I50)</f>
        <v>34176243.920000002</v>
      </c>
      <c r="J51" s="41">
        <f>SUM(J35:J50)</f>
        <v>726890.17999999993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1386507.04</v>
      </c>
      <c r="G52" s="41">
        <f>G51+G32</f>
        <v>14459.060000000001</v>
      </c>
      <c r="H52" s="41">
        <f>H51+H32</f>
        <v>19651.2</v>
      </c>
      <c r="I52" s="41">
        <f>I51+I32</f>
        <v>35171422.510000005</v>
      </c>
      <c r="J52" s="41">
        <f>J51+J32</f>
        <v>726890.17999999993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12823624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12823624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>
        <v>15363.28</v>
      </c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>
        <v>2970</v>
      </c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>
        <v>13840.76</v>
      </c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32174.04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6799.66</v>
      </c>
      <c r="G96" s="18"/>
      <c r="H96" s="18"/>
      <c r="I96" s="18">
        <v>121690.59</v>
      </c>
      <c r="J96" s="18">
        <v>2177.1799999999998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184687.84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/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>
        <v>2000</v>
      </c>
      <c r="G102" s="18"/>
      <c r="H102" s="18"/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/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60701.87</v>
      </c>
      <c r="G110" s="18">
        <v>3660.99</v>
      </c>
      <c r="H110" s="18"/>
      <c r="I110" s="18">
        <v>3200</v>
      </c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69501.53</v>
      </c>
      <c r="G111" s="41">
        <f>SUM(G96:G110)</f>
        <v>188348.83</v>
      </c>
      <c r="H111" s="41">
        <f>SUM(H96:H110)</f>
        <v>0</v>
      </c>
      <c r="I111" s="41">
        <f>SUM(I96:I110)</f>
        <v>124890.59</v>
      </c>
      <c r="J111" s="41">
        <f>SUM(J96:J110)</f>
        <v>2177.1799999999998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12925299.569999998</v>
      </c>
      <c r="G112" s="41">
        <f>G60+G111</f>
        <v>188348.83</v>
      </c>
      <c r="H112" s="41">
        <f>H60+H79+H94+H111</f>
        <v>0</v>
      </c>
      <c r="I112" s="41">
        <f>I60+I111</f>
        <v>124890.59</v>
      </c>
      <c r="J112" s="41">
        <f>J60+J111</f>
        <v>2177.1799999999998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2416609.48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1779364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f>14637.18+11845.09</f>
        <v>26482.27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4222455.75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/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135288.57999999999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>
        <v>17251.2</v>
      </c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4962.0200000000004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>
        <v>38726.589999999997</v>
      </c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191266.37</v>
      </c>
      <c r="G136" s="41">
        <f>SUM(G123:G135)</f>
        <v>4962.0200000000004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4413722.12</v>
      </c>
      <c r="G140" s="41">
        <f>G121+SUM(G136:G137)</f>
        <v>4962.0200000000004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>
        <v>23908.080000000002</v>
      </c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23908.080000000002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117986.78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48574.81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131607.26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>
        <v>211868.12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280599.46999999997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280599.46999999997</v>
      </c>
      <c r="G162" s="41">
        <f>SUM(G150:G161)</f>
        <v>131607.26</v>
      </c>
      <c r="H162" s="41">
        <f>SUM(H150:H161)</f>
        <v>378429.70999999996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>
        <v>11968.7</v>
      </c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280599.46999999997</v>
      </c>
      <c r="G169" s="41">
        <f>G147+G162+SUM(G163:G168)</f>
        <v>155515.34000000003</v>
      </c>
      <c r="H169" s="41">
        <f>H147+H162+SUM(H163:H168)</f>
        <v>390398.41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>
        <v>35816700</v>
      </c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>
        <v>3126383</v>
      </c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38943083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2907.1</v>
      </c>
      <c r="H179" s="18"/>
      <c r="I179" s="18"/>
      <c r="J179" s="18"/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2907.1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2907.1</v>
      </c>
      <c r="H192" s="41">
        <f>+H183+SUM(H188:H191)</f>
        <v>0</v>
      </c>
      <c r="I192" s="41">
        <f>I177+I183+SUM(I188:I191)</f>
        <v>38943083</v>
      </c>
      <c r="J192" s="41">
        <f>J183</f>
        <v>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17619621.159999996</v>
      </c>
      <c r="G193" s="47">
        <f>G112+G140+G169+G192</f>
        <v>351733.29</v>
      </c>
      <c r="H193" s="47">
        <f>H112+H140+H169+H192</f>
        <v>390398.41</v>
      </c>
      <c r="I193" s="47">
        <f>I112+I140+I169+I192</f>
        <v>39067973.590000004</v>
      </c>
      <c r="J193" s="47">
        <f>J112+J140+J192</f>
        <v>2177.1799999999998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f>2787944.74+79531.15+41546.93+11999.36</f>
        <v>2921022.18</v>
      </c>
      <c r="G197" s="18">
        <f>12350+25000+773322.93+27813.77+1879.2+4934.66+1203+215028.89+482837.56+3295.63+6798.65</f>
        <v>1554464.29</v>
      </c>
      <c r="H197" s="18">
        <f>849.99</f>
        <v>849.99</v>
      </c>
      <c r="I197" s="18">
        <f>57359.73+25941.06+216.93</f>
        <v>83517.72</v>
      </c>
      <c r="J197" s="18">
        <f>2336.45+525+25923.97+7790.36</f>
        <v>36575.78</v>
      </c>
      <c r="K197" s="18">
        <f>1499</f>
        <v>1499</v>
      </c>
      <c r="L197" s="19">
        <f>SUM(F197:K197)</f>
        <v>4597928.9600000009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f>772895.76+652624.98+5509.01+13825.82+46165+26249.44+105+2597.53+21950.07</f>
        <v>1541922.61</v>
      </c>
      <c r="G198" s="18">
        <f>3175+16700+301861.82+7998.3+374+1277+1461+107729.05+159722.42+1899+4800+525+34817.58+821.94+36+87+68+5047.17+11001.42+382+246+1749.84+2237.57+102</f>
        <v>664119.10999999987</v>
      </c>
      <c r="H198" s="18">
        <f>1522.84+260429.16+112888.33+424368.73+15155</f>
        <v>814364.06</v>
      </c>
      <c r="I198" s="18">
        <f>2962.25+379.36+110.99+6211.06+548.58+275.28+1206.2</f>
        <v>11693.720000000001</v>
      </c>
      <c r="J198" s="18">
        <f>12130.95+209.3+241.74</f>
        <v>12581.99</v>
      </c>
      <c r="K198" s="18"/>
      <c r="L198" s="19">
        <f>SUM(F198:K198)</f>
        <v>3044681.49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f>79219.95+139419.98+1030+9558.28+19800+3538.69+15345</f>
        <v>267911.90000000002</v>
      </c>
      <c r="G200" s="18">
        <f>250+1500+45476.39+872.37+50+152+253+16077.39+29618.66+1414+860+731.19+1505.98+1611.86+1707.07+57+270.72+475.23+11+1174.21+2335.64+25</f>
        <v>106428.71</v>
      </c>
      <c r="H200" s="18">
        <f>2712</f>
        <v>2712</v>
      </c>
      <c r="I200" s="18">
        <f>778.67</f>
        <v>778.67</v>
      </c>
      <c r="J200" s="18"/>
      <c r="K200" s="18"/>
      <c r="L200" s="19">
        <f>SUM(F200:K200)</f>
        <v>377831.28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f>108083.27+10090.12+300+60+68501+2860+163264.2+90581+90431.48</f>
        <v>534171.07000000007</v>
      </c>
      <c r="G202" s="18">
        <f>3200+25408.11+821.94+99+275+95+8745.72+19683.42+535+539+35571.27+1150.8+61+157+61+4880.12+11891.65+458+183+525+56471.52+1772.61+86+309+82+11635.44+28433.47+458+555+750+750+26603.85+821.94+50+172+68+6645.21+11472.62+268+309+32131.94+920.28+53.28+174.64+50.32+6158.97+15698.89+282.68+314.5</f>
        <v>317840.19</v>
      </c>
      <c r="H202" s="18">
        <f>513+456.11</f>
        <v>969.11</v>
      </c>
      <c r="I202" s="18">
        <f>985.96+3612.37+453.37+1378.94+1432.06+545.88</f>
        <v>8408.5799999999981</v>
      </c>
      <c r="J202" s="18"/>
      <c r="K202" s="18"/>
      <c r="L202" s="19">
        <f t="shared" ref="L202:L208" si="0">SUM(F202:K202)</f>
        <v>861388.95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f>66233.5+448+88248.11+50960.84+87140.92</f>
        <v>293031.37</v>
      </c>
      <c r="G203" s="18">
        <f>21480+34867.65+832.74+54+126+51+4597.25+11498.24+287+226+388.5+2220+460.22+49.58+151.7+25.16+6781.8+10086.78+141.34+273.06+388.5+21217.04+1158.85+102.86+196.1+75.48+10337.56+18763.42+424.02+453.62+4175.82</f>
        <v>151891.29</v>
      </c>
      <c r="H203" s="18">
        <f>17359.18+2449.9+1067.78+1796.91+1798.13+675.18+17956.63+8436.81+8515.25+898.57</f>
        <v>60954.340000000004</v>
      </c>
      <c r="I203" s="18">
        <f>1134.27+8247.1+3181.9+1274.45+7044.24+173.69+54104.38</f>
        <v>75160.03</v>
      </c>
      <c r="J203" s="18">
        <f>62493.36+41740.5+262.6</f>
        <v>104496.46</v>
      </c>
      <c r="K203" s="18">
        <f>1260.64</f>
        <v>1260.6400000000001</v>
      </c>
      <c r="L203" s="19">
        <f t="shared" si="0"/>
        <v>686794.13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f>166.5+111+888+3442.64+1924+1110+3515+132583.9+69930+31278.65</f>
        <v>244949.68999999997</v>
      </c>
      <c r="G204" s="18">
        <f>573.19+65882.32+92.49+32792.66+1068.4+53.28+124.32+50.32+7194.24+15709.95+282.68+325.6</f>
        <v>124149.45000000003</v>
      </c>
      <c r="H204" s="18">
        <f>4523.25+31048.42+2568.34+9474.46+2106.26+7.4+10213.83+162.36+274.84+1925.74</f>
        <v>62304.899999999994</v>
      </c>
      <c r="I204" s="18">
        <f>5716.92+27.44</f>
        <v>5744.36</v>
      </c>
      <c r="J204" s="18"/>
      <c r="K204" s="18">
        <f>4286.21+19241.54+982.76+110.63+1214.11+857.66</f>
        <v>26692.91</v>
      </c>
      <c r="L204" s="19">
        <f t="shared" si="0"/>
        <v>463841.31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f>255953+110864.24+1127.01+5100</f>
        <v>373044.25</v>
      </c>
      <c r="G205" s="18">
        <f>525+6500+69635.8+3109.86+216+473+204+27616.29+57141.1+1146+1218+390.14+820.25</f>
        <v>168995.44000000003</v>
      </c>
      <c r="H205" s="18">
        <f>26073.6+1469.48+4906.12+3845.25</f>
        <v>36294.449999999997</v>
      </c>
      <c r="I205" s="18">
        <f>2366.99</f>
        <v>2366.9899999999998</v>
      </c>
      <c r="J205" s="18">
        <f>33.83</f>
        <v>33.83</v>
      </c>
      <c r="K205" s="18">
        <f>1560</f>
        <v>1560</v>
      </c>
      <c r="L205" s="19">
        <f t="shared" si="0"/>
        <v>582294.96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>
        <f>139977.78</f>
        <v>139977.78</v>
      </c>
      <c r="G206" s="18">
        <f>40109.66</f>
        <v>40109.660000000003</v>
      </c>
      <c r="H206" s="18">
        <f>15320.75</f>
        <v>15320.75</v>
      </c>
      <c r="I206" s="18">
        <f>8575.38</f>
        <v>8575.3799999999992</v>
      </c>
      <c r="J206" s="18"/>
      <c r="K206" s="18">
        <f>1821.17</f>
        <v>1821.17</v>
      </c>
      <c r="L206" s="19">
        <f t="shared" si="0"/>
        <v>205804.74000000002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f>229857.62+2798.82+666</f>
        <v>233322.44</v>
      </c>
      <c r="G207" s="18">
        <f>250+850+50302.29+2264.23+201+17389.34+22349.37+1649+5522+50.95</f>
        <v>100828.18</v>
      </c>
      <c r="H207" s="18">
        <f>9872.95+13370.46+1629.27+7597.2+170085.82+33142.62+38226.18+59328.66</f>
        <v>333253.16000000003</v>
      </c>
      <c r="I207" s="18">
        <f>26632.54+65512.36+3505.79+41760.72</f>
        <v>137411.40999999997</v>
      </c>
      <c r="J207" s="18">
        <f>3249.44+20370.49</f>
        <v>23619.93</v>
      </c>
      <c r="K207" s="18"/>
      <c r="L207" s="19">
        <f t="shared" si="0"/>
        <v>828435.12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>
        <f>9272.26</f>
        <v>9272.26</v>
      </c>
      <c r="G208" s="18">
        <f>705.3+438.48+18</f>
        <v>1161.78</v>
      </c>
      <c r="H208" s="18">
        <f>738.89+10878.67+4144.23+197854.54+182815.29</f>
        <v>396431.62</v>
      </c>
      <c r="I208" s="18"/>
      <c r="J208" s="18"/>
      <c r="K208" s="18"/>
      <c r="L208" s="19">
        <f t="shared" si="0"/>
        <v>406865.66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>
        <f>19601.39</f>
        <v>19601.39</v>
      </c>
      <c r="G209" s="18">
        <f>539.76+1489.08+151.55+2</f>
        <v>2182.39</v>
      </c>
      <c r="H209" s="18">
        <v>59402</v>
      </c>
      <c r="I209" s="18"/>
      <c r="J209" s="18"/>
      <c r="K209" s="18"/>
      <c r="L209" s="19">
        <f>SUM(F209:K209)</f>
        <v>81185.78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6578226.9400000013</v>
      </c>
      <c r="G211" s="41">
        <f t="shared" si="1"/>
        <v>3232170.49</v>
      </c>
      <c r="H211" s="41">
        <f t="shared" si="1"/>
        <v>1782856.38</v>
      </c>
      <c r="I211" s="41">
        <f t="shared" si="1"/>
        <v>333656.86</v>
      </c>
      <c r="J211" s="41">
        <f t="shared" si="1"/>
        <v>177307.99</v>
      </c>
      <c r="K211" s="41">
        <f t="shared" si="1"/>
        <v>32833.72</v>
      </c>
      <c r="L211" s="41">
        <f t="shared" si="1"/>
        <v>12137052.380000001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>
        <f>1109811.1+7283.75+19712.5+26248.6</f>
        <v>1163055.9500000002</v>
      </c>
      <c r="G233" s="18">
        <f>6862.5+16500+274401.85+10659.43+800.04+2069.44+410+85766.05+174751.14+1100+3285</f>
        <v>576605.44999999995</v>
      </c>
      <c r="H233" s="18">
        <f>4522.69</f>
        <v>4522.6899999999996</v>
      </c>
      <c r="I233" s="18">
        <f>33388.65+10888.82+5508</f>
        <v>49785.47</v>
      </c>
      <c r="J233" s="18">
        <f>7413.96+3878.1+5499.09</f>
        <v>16791.150000000001</v>
      </c>
      <c r="K233" s="18">
        <v>7905</v>
      </c>
      <c r="L233" s="19">
        <f>SUM(F233:K233)</f>
        <v>1818665.71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>
        <f>223246.8+124181.43+1120+6562.15+30113.44+7712.18</f>
        <v>392936</v>
      </c>
      <c r="G234" s="18">
        <f>1700+6800+85711.64+2129.92+249+677+507+26409.32+38847.04+650+1756+8700.09+34+2146.33+3426.95+191+102+589.98+786.17</f>
        <v>181413.44000000003</v>
      </c>
      <c r="H234" s="18">
        <f>2089.02+172257.76+54603.53+181043.48+9825.53</f>
        <v>419819.32000000007</v>
      </c>
      <c r="I234" s="18">
        <f>1037.91+270.93+129.99+70.03+192.75+96.72+423.8</f>
        <v>2222.13</v>
      </c>
      <c r="J234" s="18">
        <f>1119.42+84.94</f>
        <v>1204.3600000000001</v>
      </c>
      <c r="K234" s="18"/>
      <c r="L234" s="19">
        <f>SUM(F234:K234)</f>
        <v>997595.25000000012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>
        <f>133835.5+567.97</f>
        <v>134403.47</v>
      </c>
      <c r="I235" s="18"/>
      <c r="J235" s="18"/>
      <c r="K235" s="18"/>
      <c r="L235" s="19">
        <f>SUM(F235:K235)</f>
        <v>134403.47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>
        <f>24982.2+18380+45260+70+2580</f>
        <v>91272.2</v>
      </c>
      <c r="G236" s="18">
        <f>525+15244.74+493.08+22+44+21+1702.96+4337.06+115+79+1406.11+2907.8+97+3586.06+4635.13+173+197.47+447.83+8</f>
        <v>36042.240000000005</v>
      </c>
      <c r="H236" s="18">
        <f>14568+17603.33+85.35+1182.18</f>
        <v>33438.86</v>
      </c>
      <c r="I236" s="18">
        <f>1922.94+3018.04</f>
        <v>4940.9799999999996</v>
      </c>
      <c r="J236" s="18"/>
      <c r="K236" s="18">
        <f>6080+6615</f>
        <v>12695</v>
      </c>
      <c r="L236" s="19">
        <f>SUM(F236:K236)</f>
        <v>178389.28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>
        <f>47730+15135.2+450+90+33870+740+38560.8+31773.22</f>
        <v>168349.22</v>
      </c>
      <c r="G238" s="18">
        <f>3300+40+104+41+5103.06+9666.51+229+256+15244.95+493.08+22+64+20+2399.53+5879.9+115+119+525+15244.95+493.08+22+73+20+2741.86+6694.2+115+131+11289.6+323.34+18.72+61.36+17.68+2163.96+5515.83+99.32+110.5</f>
        <v>88757.430000000022</v>
      </c>
      <c r="H238" s="18">
        <f>3654+1299+342+160.26+0.02</f>
        <v>5455.2800000000007</v>
      </c>
      <c r="I238" s="18">
        <f>651.83+2510.3+982.89+151.13+133.47+191.8</f>
        <v>4621.420000000001</v>
      </c>
      <c r="J238" s="18"/>
      <c r="K238" s="18">
        <v>1375</v>
      </c>
      <c r="L238" s="19">
        <f t="shared" ref="L238:L244" si="4">SUM(F238:K238)</f>
        <v>268558.35000000003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>
        <f>24596.5+42+31006.09+17905.16+30617.08</f>
        <v>104166.83</v>
      </c>
      <c r="G239" s="18">
        <f>10817+9459.57+310.92+18+46+17+1724.07+4269.98+96+84+136.5+780+161.7+17.42+53.3+8.84+2382.79+3544.01+49.66+95.94+136.5+7454.64+407.16+36.14+68.9+26.52+3632.11+6592.55+148.98+159.38+1467.18</f>
        <v>54202.760000000009</v>
      </c>
      <c r="H239" s="18">
        <f>5470.5+1247.08+792.62+296.91+631.77+2964.28+2991.85+315.72</f>
        <v>14710.73</v>
      </c>
      <c r="I239" s="18">
        <f>139.55+4331.04+1449.35+592.74+450+237.23+6309.09+61.03+19009.65</f>
        <v>32579.68</v>
      </c>
      <c r="J239" s="18">
        <f>39158.08+87213.69+92.26</f>
        <v>126464.03</v>
      </c>
      <c r="K239" s="18">
        <f>442.93</f>
        <v>442.93</v>
      </c>
      <c r="L239" s="19">
        <f t="shared" si="4"/>
        <v>332566.96000000002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>
        <f>24570+10989.8+58.5+39+312+1209.57+676+390+1235+41868.6</f>
        <v>81348.47</v>
      </c>
      <c r="G240" s="18">
        <f>32.5+11521.74+375.38+18.72+43.68+17.68+2527.71+5519.71+99.32+114.4+201.39+20804.94</f>
        <v>41277.17</v>
      </c>
      <c r="H240" s="18">
        <f>57.04+96.56+676.61+1589.25+10908.91+902.39+3328.86+740.04+2.6+3225.42</f>
        <v>21527.68</v>
      </c>
      <c r="I240" s="18">
        <f>9.64+1805.34</f>
        <v>1814.98</v>
      </c>
      <c r="J240" s="18"/>
      <c r="K240" s="18">
        <f>301.34+1505.96+6760.54+345.3+38.87+383.4</f>
        <v>9335.41</v>
      </c>
      <c r="L240" s="19">
        <f t="shared" si="4"/>
        <v>155303.71000000002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>
        <f>94860+71105.68+210+7650</f>
        <v>173825.68</v>
      </c>
      <c r="G241" s="18">
        <f>1087.5+54224.22+1981.24+72+176+102+11961.57+24559.58+573+557+585.24+1230.4+42</f>
        <v>97151.75</v>
      </c>
      <c r="H241" s="18">
        <f>12506.4+1140.19+1307.35+2196.48</f>
        <v>17150.420000000002</v>
      </c>
      <c r="I241" s="18">
        <f>1977.89</f>
        <v>1977.89</v>
      </c>
      <c r="J241" s="18">
        <f>50.75</f>
        <v>50.75</v>
      </c>
      <c r="K241" s="18">
        <f>4486+8049.92</f>
        <v>12535.92</v>
      </c>
      <c r="L241" s="19">
        <f t="shared" si="4"/>
        <v>302692.40999999997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>
        <f>44203.51</f>
        <v>44203.51</v>
      </c>
      <c r="G242" s="18">
        <f>12666.2</f>
        <v>12666.2</v>
      </c>
      <c r="H242" s="18">
        <f>4838.13</f>
        <v>4838.13</v>
      </c>
      <c r="I242" s="18">
        <f>2708.02</f>
        <v>2708.02</v>
      </c>
      <c r="J242" s="18"/>
      <c r="K242" s="18">
        <f>575.11</f>
        <v>575.11</v>
      </c>
      <c r="L242" s="19">
        <f t="shared" si="4"/>
        <v>64990.97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>
        <f>89503.93+234</f>
        <v>89737.93</v>
      </c>
      <c r="G243" s="18">
        <f>275+23382.24+1229.13+99+6308.2+8326.47+478+2151+17.9</f>
        <v>42266.94</v>
      </c>
      <c r="H243" s="18">
        <f>5080.8+5944.52+523.39+2457.8+66554.38+26633.29+20845.2+13430.82</f>
        <v>141470.19999999998</v>
      </c>
      <c r="I243" s="18">
        <f>10917.93+33352.37+26771.41</f>
        <v>71041.710000000006</v>
      </c>
      <c r="J243" s="18">
        <f>6378.75+18356.1</f>
        <v>24734.85</v>
      </c>
      <c r="K243" s="18"/>
      <c r="L243" s="19">
        <f t="shared" si="4"/>
        <v>369251.62999999995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>
        <f>3568.51+9124.08+27620.05+69516.46+57731.15+46905</f>
        <v>214465.25</v>
      </c>
      <c r="I244" s="18"/>
      <c r="J244" s="18"/>
      <c r="K244" s="18"/>
      <c r="L244" s="19">
        <f t="shared" si="4"/>
        <v>214465.25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>
        <v>1172.73</v>
      </c>
      <c r="G245" s="18">
        <f>89.45</f>
        <v>89.45</v>
      </c>
      <c r="H245" s="18"/>
      <c r="I245" s="18"/>
      <c r="J245" s="18"/>
      <c r="K245" s="18"/>
      <c r="L245" s="19">
        <f>SUM(F245:K245)</f>
        <v>1262.18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2310068.52</v>
      </c>
      <c r="G247" s="41">
        <f t="shared" si="5"/>
        <v>1130472.83</v>
      </c>
      <c r="H247" s="41">
        <f t="shared" si="5"/>
        <v>1011802.0300000001</v>
      </c>
      <c r="I247" s="41">
        <f t="shared" si="5"/>
        <v>171692.28</v>
      </c>
      <c r="J247" s="41">
        <f t="shared" si="5"/>
        <v>169245.14</v>
      </c>
      <c r="K247" s="41">
        <f t="shared" si="5"/>
        <v>44864.37</v>
      </c>
      <c r="L247" s="41">
        <f t="shared" si="5"/>
        <v>4838145.17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8888295.4600000009</v>
      </c>
      <c r="G257" s="41">
        <f t="shared" si="8"/>
        <v>4362643.32</v>
      </c>
      <c r="H257" s="41">
        <f t="shared" si="8"/>
        <v>2794658.41</v>
      </c>
      <c r="I257" s="41">
        <f t="shared" si="8"/>
        <v>505349.14</v>
      </c>
      <c r="J257" s="41">
        <f t="shared" si="8"/>
        <v>346553.13</v>
      </c>
      <c r="K257" s="41">
        <f t="shared" si="8"/>
        <v>77698.09</v>
      </c>
      <c r="L257" s="41">
        <f t="shared" si="8"/>
        <v>16975197.550000001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/>
      <c r="L260" s="19">
        <f>SUM(F260:K260)</f>
        <v>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v>878063.78</v>
      </c>
      <c r="L261" s="19">
        <f>SUM(F261:K261)</f>
        <v>878063.78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2907.1</v>
      </c>
      <c r="L263" s="19">
        <f>SUM(F263:K263)</f>
        <v>2907.1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/>
      <c r="L266" s="19">
        <f t="shared" si="9"/>
        <v>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880970.88</v>
      </c>
      <c r="L270" s="41">
        <f t="shared" si="9"/>
        <v>880970.88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8888295.4600000009</v>
      </c>
      <c r="G271" s="42">
        <f t="shared" si="11"/>
        <v>4362643.32</v>
      </c>
      <c r="H271" s="42">
        <f t="shared" si="11"/>
        <v>2794658.41</v>
      </c>
      <c r="I271" s="42">
        <f t="shared" si="11"/>
        <v>505349.14</v>
      </c>
      <c r="J271" s="42">
        <f t="shared" si="11"/>
        <v>346553.13</v>
      </c>
      <c r="K271" s="42">
        <f t="shared" si="11"/>
        <v>958668.97</v>
      </c>
      <c r="L271" s="42">
        <f t="shared" si="11"/>
        <v>17856168.43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f>82889.49</f>
        <v>82889.490000000005</v>
      </c>
      <c r="G276" s="18">
        <f>35023.77</f>
        <v>35023.769999999997</v>
      </c>
      <c r="H276" s="18">
        <f>1250</f>
        <v>1250</v>
      </c>
      <c r="I276" s="18">
        <f>73.52+2302.8</f>
        <v>2376.3200000000002</v>
      </c>
      <c r="J276" s="18">
        <f>428.65</f>
        <v>428.65</v>
      </c>
      <c r="K276" s="18"/>
      <c r="L276" s="19">
        <f>SUM(F276:K276)</f>
        <v>121968.23000000001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>
        <f>133757.94+270</f>
        <v>134027.94</v>
      </c>
      <c r="G277" s="18">
        <f>56242.5+67.55</f>
        <v>56310.05</v>
      </c>
      <c r="H277" s="18">
        <f>13598.88+165</f>
        <v>13763.88</v>
      </c>
      <c r="I277" s="18">
        <f>3664.21+591.1</f>
        <v>4255.3100000000004</v>
      </c>
      <c r="J277" s="18">
        <f>2209.56+270.83</f>
        <v>2480.39</v>
      </c>
      <c r="K277" s="18"/>
      <c r="L277" s="19">
        <f>SUM(F277:K277)</f>
        <v>210837.57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/>
      <c r="G279" s="18"/>
      <c r="H279" s="18"/>
      <c r="I279" s="18">
        <f>59.19</f>
        <v>59.19</v>
      </c>
      <c r="J279" s="18"/>
      <c r="K279" s="18"/>
      <c r="L279" s="19">
        <f>SUM(F279:K279)</f>
        <v>59.19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/>
      <c r="G281" s="18"/>
      <c r="H281" s="18">
        <f>245.75</f>
        <v>245.75</v>
      </c>
      <c r="I281" s="18">
        <f>532.9</f>
        <v>532.9</v>
      </c>
      <c r="J281" s="18"/>
      <c r="K281" s="18"/>
      <c r="L281" s="19">
        <f t="shared" ref="L281:L287" si="12">SUM(F281:K281)</f>
        <v>778.65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>
        <f>9475.38</f>
        <v>9475.3799999999992</v>
      </c>
      <c r="G282" s="18">
        <f>2354.43</f>
        <v>2354.4299999999998</v>
      </c>
      <c r="H282" s="18">
        <f>21952.08+1295</f>
        <v>23247.08</v>
      </c>
      <c r="I282" s="18">
        <f>2761.77</f>
        <v>2761.77</v>
      </c>
      <c r="J282" s="18"/>
      <c r="K282" s="18"/>
      <c r="L282" s="19">
        <f t="shared" si="12"/>
        <v>37838.659999999996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/>
      <c r="I283" s="18">
        <f>132.73</f>
        <v>132.72999999999999</v>
      </c>
      <c r="J283" s="18"/>
      <c r="K283" s="18"/>
      <c r="L283" s="19">
        <f t="shared" si="12"/>
        <v>132.72999999999999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>
        <f>225</f>
        <v>225</v>
      </c>
      <c r="K286" s="18"/>
      <c r="L286" s="19">
        <f t="shared" si="12"/>
        <v>225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226392.81</v>
      </c>
      <c r="G290" s="42">
        <f t="shared" si="13"/>
        <v>93688.25</v>
      </c>
      <c r="H290" s="42">
        <f t="shared" si="13"/>
        <v>38506.71</v>
      </c>
      <c r="I290" s="42">
        <f t="shared" si="13"/>
        <v>10118.219999999999</v>
      </c>
      <c r="J290" s="42">
        <f t="shared" si="13"/>
        <v>3134.04</v>
      </c>
      <c r="K290" s="42">
        <f t="shared" si="13"/>
        <v>0</v>
      </c>
      <c r="L290" s="41">
        <f t="shared" si="13"/>
        <v>371840.03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>
        <f>1900</f>
        <v>1900</v>
      </c>
      <c r="G314" s="18">
        <f>475.2</f>
        <v>475.2</v>
      </c>
      <c r="H314" s="18">
        <f>3700</f>
        <v>3700</v>
      </c>
      <c r="I314" s="18">
        <f>1057.35</f>
        <v>1057.3499999999999</v>
      </c>
      <c r="J314" s="18">
        <f>1560.6</f>
        <v>1560.6</v>
      </c>
      <c r="K314" s="18"/>
      <c r="L314" s="19">
        <f>SUM(F314:K314)</f>
        <v>8693.15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>
        <f>913.12</f>
        <v>913.12</v>
      </c>
      <c r="I315" s="18">
        <f>1287.42</f>
        <v>1287.42</v>
      </c>
      <c r="J315" s="18">
        <f>194.49+95.15</f>
        <v>289.64</v>
      </c>
      <c r="K315" s="18"/>
      <c r="L315" s="19">
        <f>SUM(F315:K315)</f>
        <v>2490.1799999999998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>
        <f>1150</f>
        <v>1150</v>
      </c>
      <c r="I317" s="18"/>
      <c r="J317" s="18"/>
      <c r="K317" s="18"/>
      <c r="L317" s="19">
        <f>SUM(F317:K317)</f>
        <v>1150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>
        <f>3234.62</f>
        <v>3234.62</v>
      </c>
      <c r="G320" s="18">
        <f>803.58</f>
        <v>803.58</v>
      </c>
      <c r="H320" s="18">
        <f>7022.6+1205</f>
        <v>8227.6</v>
      </c>
      <c r="I320" s="18">
        <f>970.35</f>
        <v>970.35</v>
      </c>
      <c r="J320" s="18"/>
      <c r="K320" s="18"/>
      <c r="L320" s="19">
        <f t="shared" si="16"/>
        <v>13236.15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>
        <f>46.64</f>
        <v>46.64</v>
      </c>
      <c r="J321" s="18"/>
      <c r="K321" s="18"/>
      <c r="L321" s="19">
        <f t="shared" si="16"/>
        <v>46.64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>
        <f>1795.4</f>
        <v>1795.4</v>
      </c>
      <c r="I325" s="18"/>
      <c r="J325" s="18"/>
      <c r="K325" s="18"/>
      <c r="L325" s="19">
        <f t="shared" si="16"/>
        <v>1795.4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5134.62</v>
      </c>
      <c r="G328" s="42">
        <f t="shared" si="17"/>
        <v>1278.78</v>
      </c>
      <c r="H328" s="42">
        <f t="shared" si="17"/>
        <v>15786.12</v>
      </c>
      <c r="I328" s="42">
        <f t="shared" si="17"/>
        <v>3361.7599999999998</v>
      </c>
      <c r="J328" s="42">
        <f t="shared" si="17"/>
        <v>1850.2399999999998</v>
      </c>
      <c r="K328" s="42">
        <f t="shared" si="17"/>
        <v>0</v>
      </c>
      <c r="L328" s="41">
        <f t="shared" si="17"/>
        <v>27411.52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231527.43</v>
      </c>
      <c r="G338" s="41">
        <f t="shared" si="20"/>
        <v>94967.03</v>
      </c>
      <c r="H338" s="41">
        <f t="shared" si="20"/>
        <v>54292.83</v>
      </c>
      <c r="I338" s="41">
        <f t="shared" si="20"/>
        <v>13479.98</v>
      </c>
      <c r="J338" s="41">
        <f t="shared" si="20"/>
        <v>4984.28</v>
      </c>
      <c r="K338" s="41">
        <f t="shared" si="20"/>
        <v>0</v>
      </c>
      <c r="L338" s="41">
        <f t="shared" si="20"/>
        <v>399251.55000000005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231527.43</v>
      </c>
      <c r="G352" s="41">
        <f>G338</f>
        <v>94967.03</v>
      </c>
      <c r="H352" s="41">
        <f>H338</f>
        <v>54292.83</v>
      </c>
      <c r="I352" s="41">
        <f>I338</f>
        <v>13479.98</v>
      </c>
      <c r="J352" s="41">
        <f>J338</f>
        <v>4984.28</v>
      </c>
      <c r="K352" s="47">
        <f>K338+K351</f>
        <v>0</v>
      </c>
      <c r="L352" s="41">
        <f>L338+L351</f>
        <v>399251.55000000005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f>29841.24+53148.88+33461.59</f>
        <v>116451.70999999999</v>
      </c>
      <c r="G358" s="18">
        <f>388.5+1480+2945.95+463.71+53.28+54.02+2372.74+3440.08+18818.94+3678.3+2438.61+350+9852.36+2493.42+2439.26</f>
        <v>51269.17</v>
      </c>
      <c r="H358" s="18">
        <f>198.56+3037.33+708.11</f>
        <v>3944</v>
      </c>
      <c r="I358" s="18">
        <f>145.78+4040.14+71969.47+1387.54+36748.19</f>
        <v>114291.12</v>
      </c>
      <c r="J358" s="18"/>
      <c r="K358" s="18">
        <f>632.7</f>
        <v>632.70000000000005</v>
      </c>
      <c r="L358" s="13">
        <f>SUM(F358:K358)</f>
        <v>286588.7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>
        <f>10484.76+15230.65</f>
        <v>25715.41</v>
      </c>
      <c r="G360" s="18">
        <f>136.5+520+1035.06+162.93+18.72+18.98+833.67+1208.67+125+1174.72+14.23</f>
        <v>5248.48</v>
      </c>
      <c r="H360" s="18">
        <f>69.76+1189.19</f>
        <v>1258.95</v>
      </c>
      <c r="I360" s="18">
        <f>51.22+1471.59+647.13+36684.33</f>
        <v>38854.270000000004</v>
      </c>
      <c r="J360" s="18"/>
      <c r="K360" s="18">
        <f>222.3</f>
        <v>222.3</v>
      </c>
      <c r="L360" s="19">
        <f>SUM(F360:K360)</f>
        <v>71299.41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142167.12</v>
      </c>
      <c r="G362" s="47">
        <f t="shared" si="22"/>
        <v>56517.649999999994</v>
      </c>
      <c r="H362" s="47">
        <f t="shared" si="22"/>
        <v>5202.95</v>
      </c>
      <c r="I362" s="47">
        <f t="shared" si="22"/>
        <v>153145.39000000001</v>
      </c>
      <c r="J362" s="47">
        <f t="shared" si="22"/>
        <v>0</v>
      </c>
      <c r="K362" s="47">
        <f t="shared" si="22"/>
        <v>855</v>
      </c>
      <c r="L362" s="47">
        <f t="shared" si="22"/>
        <v>357888.11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f>71969.47+36748.19</f>
        <v>108717.66</v>
      </c>
      <c r="G367" s="18"/>
      <c r="H367" s="18">
        <f>36684.33</f>
        <v>36684.33</v>
      </c>
      <c r="I367" s="56">
        <f>SUM(F367:H367)</f>
        <v>145401.99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v>5573.46</v>
      </c>
      <c r="G368" s="63"/>
      <c r="H368" s="63">
        <v>2169.94</v>
      </c>
      <c r="I368" s="56">
        <f>SUM(F368:H368)</f>
        <v>7743.4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114291.12000000001</v>
      </c>
      <c r="G369" s="47">
        <f>SUM(G367:G368)</f>
        <v>0</v>
      </c>
      <c r="H369" s="47">
        <f>SUM(H367:H368)</f>
        <v>38854.270000000004</v>
      </c>
      <c r="I369" s="47">
        <f>SUM(I367:I368)</f>
        <v>153145.38999999998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>
        <f>2278526.7</f>
        <v>2278526.7000000002</v>
      </c>
      <c r="I376" s="18"/>
      <c r="J376" s="18"/>
      <c r="K376" s="18"/>
      <c r="L376" s="13">
        <f t="shared" si="23"/>
        <v>2278526.7000000002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>
        <f>37316.75+15500+20636.62+46107.15+80650.18+904350.1+1166533.3+78913.07+6500</f>
        <v>2356507.17</v>
      </c>
      <c r="I378" s="18"/>
      <c r="J378" s="18">
        <v>10059</v>
      </c>
      <c r="K378" s="18"/>
      <c r="L378" s="13">
        <f t="shared" si="23"/>
        <v>2366566.17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4635033.87</v>
      </c>
      <c r="I382" s="41">
        <f t="shared" si="24"/>
        <v>0</v>
      </c>
      <c r="J382" s="47">
        <f t="shared" si="24"/>
        <v>10059</v>
      </c>
      <c r="K382" s="47">
        <f t="shared" si="24"/>
        <v>0</v>
      </c>
      <c r="L382" s="47">
        <f t="shared" si="24"/>
        <v>4645092.87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>
        <v>0.47</v>
      </c>
      <c r="I387" s="18"/>
      <c r="J387" s="24" t="s">
        <v>286</v>
      </c>
      <c r="K387" s="24" t="s">
        <v>286</v>
      </c>
      <c r="L387" s="56">
        <f t="shared" ref="L387:L392" si="25">SUM(F387:K387)</f>
        <v>0.47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0.47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0.47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>
        <v>857.24</v>
      </c>
      <c r="I396" s="18"/>
      <c r="J396" s="24" t="s">
        <v>286</v>
      </c>
      <c r="K396" s="24" t="s">
        <v>286</v>
      </c>
      <c r="L396" s="56">
        <f t="shared" si="26"/>
        <v>857.24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>
        <v>891.87</v>
      </c>
      <c r="I397" s="18"/>
      <c r="J397" s="24" t="s">
        <v>286</v>
      </c>
      <c r="K397" s="24" t="s">
        <v>286</v>
      </c>
      <c r="L397" s="56">
        <f t="shared" si="26"/>
        <v>891.87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>
        <v>351.63</v>
      </c>
      <c r="I399" s="18"/>
      <c r="J399" s="24" t="s">
        <v>286</v>
      </c>
      <c r="K399" s="24" t="s">
        <v>286</v>
      </c>
      <c r="L399" s="56">
        <f t="shared" si="26"/>
        <v>351.63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>
        <f>75.66+0.31</f>
        <v>75.97</v>
      </c>
      <c r="I400" s="18"/>
      <c r="J400" s="24" t="s">
        <v>286</v>
      </c>
      <c r="K400" s="24" t="s">
        <v>286</v>
      </c>
      <c r="L400" s="56">
        <f t="shared" si="26"/>
        <v>75.97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2176.71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2176.71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2177.1799999999998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2177.1799999999998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>
        <v>323282.73</v>
      </c>
      <c r="G439" s="18">
        <v>403607.45</v>
      </c>
      <c r="H439" s="18"/>
      <c r="I439" s="56">
        <f t="shared" ref="I439:I445" si="33">SUM(F439:H439)</f>
        <v>726890.17999999993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323282.73</v>
      </c>
      <c r="G446" s="13">
        <f>SUM(G439:G445)</f>
        <v>403607.45</v>
      </c>
      <c r="H446" s="13">
        <f>SUM(H439:H445)</f>
        <v>0</v>
      </c>
      <c r="I446" s="13">
        <f>SUM(I439:I445)</f>
        <v>726890.17999999993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>
        <v>323282.73</v>
      </c>
      <c r="G459" s="18">
        <v>403607.45</v>
      </c>
      <c r="H459" s="18"/>
      <c r="I459" s="56">
        <f t="shared" si="34"/>
        <v>726890.17999999993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323282.73</v>
      </c>
      <c r="G460" s="83">
        <f>SUM(G454:G459)</f>
        <v>403607.45</v>
      </c>
      <c r="H460" s="83">
        <f>SUM(H454:H459)</f>
        <v>0</v>
      </c>
      <c r="I460" s="83">
        <f>SUM(I454:I459)</f>
        <v>726890.17999999993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323282.73</v>
      </c>
      <c r="G461" s="42">
        <f>G452+G460</f>
        <v>403607.45</v>
      </c>
      <c r="H461" s="42">
        <f>H452+H460</f>
        <v>0</v>
      </c>
      <c r="I461" s="42">
        <f>I452+I460</f>
        <v>726890.17999999993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1035665.26</v>
      </c>
      <c r="G465" s="18">
        <v>24424.59</v>
      </c>
      <c r="H465" s="18">
        <v>28504.34</v>
      </c>
      <c r="I465" s="18">
        <v>-246636.79999999999</v>
      </c>
      <c r="J465" s="18">
        <v>724713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f>17619621.16</f>
        <v>17619621.16</v>
      </c>
      <c r="G468" s="18">
        <v>351733.29</v>
      </c>
      <c r="H468" s="18">
        <f>378429.71+11968.7</f>
        <v>390398.41000000003</v>
      </c>
      <c r="I468" s="18">
        <v>39067973.590000004</v>
      </c>
      <c r="J468" s="18">
        <v>2177.1799999999998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17619621.16</v>
      </c>
      <c r="G470" s="53">
        <f>SUM(G468:G469)</f>
        <v>351733.29</v>
      </c>
      <c r="H470" s="53">
        <f>SUM(H468:H469)</f>
        <v>390398.41000000003</v>
      </c>
      <c r="I470" s="53">
        <f>SUM(I468:I469)</f>
        <v>39067973.590000004</v>
      </c>
      <c r="J470" s="53">
        <f>SUM(J468:J469)</f>
        <v>2177.1799999999998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f>17817441.84+38726.59</f>
        <v>17856168.43</v>
      </c>
      <c r="G472" s="18">
        <v>357888.11</v>
      </c>
      <c r="H472" s="18">
        <v>399251.55</v>
      </c>
      <c r="I472" s="18">
        <v>4645092.87</v>
      </c>
      <c r="J472" s="18"/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17856168.43</v>
      </c>
      <c r="G474" s="53">
        <f>SUM(G472:G473)</f>
        <v>357888.11</v>
      </c>
      <c r="H474" s="53">
        <f>SUM(H472:H473)</f>
        <v>399251.55</v>
      </c>
      <c r="I474" s="53">
        <f>SUM(I472:I473)</f>
        <v>4645092.87</v>
      </c>
      <c r="J474" s="53">
        <f>SUM(J472:J473)</f>
        <v>0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799117.99000000209</v>
      </c>
      <c r="G476" s="53">
        <f>(G465+G470)- G474</f>
        <v>18269.770000000019</v>
      </c>
      <c r="H476" s="53">
        <f>(H465+H470)- H474</f>
        <v>19651.20000000007</v>
      </c>
      <c r="I476" s="53">
        <f>(I465+I470)- I474</f>
        <v>34176243.920000009</v>
      </c>
      <c r="J476" s="53">
        <f>(J465+J470)- J474</f>
        <v>726890.18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>
        <v>29</v>
      </c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 t="s">
        <v>912</v>
      </c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 t="s">
        <v>913</v>
      </c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>
        <v>35816700</v>
      </c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>
        <v>3.3290000000000002</v>
      </c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>
        <v>35816700</v>
      </c>
      <c r="G495" s="18"/>
      <c r="H495" s="18"/>
      <c r="I495" s="18"/>
      <c r="J495" s="18"/>
      <c r="K495" s="53">
        <f>SUM(F495:J495)</f>
        <v>35816700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>
        <v>0</v>
      </c>
      <c r="G497" s="18"/>
      <c r="H497" s="18"/>
      <c r="I497" s="18"/>
      <c r="J497" s="18"/>
      <c r="K497" s="53">
        <f t="shared" si="35"/>
        <v>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>
        <v>35816700</v>
      </c>
      <c r="G498" s="204"/>
      <c r="H498" s="204"/>
      <c r="I498" s="204"/>
      <c r="J498" s="204"/>
      <c r="K498" s="205">
        <f t="shared" si="35"/>
        <v>35816700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>
        <v>24673305.850000001</v>
      </c>
      <c r="G499" s="18"/>
      <c r="H499" s="18"/>
      <c r="I499" s="18"/>
      <c r="J499" s="18"/>
      <c r="K499" s="53">
        <f t="shared" si="35"/>
        <v>24673305.850000001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60490005.850000001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60490005.850000001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>
        <v>626700</v>
      </c>
      <c r="G501" s="204"/>
      <c r="H501" s="204"/>
      <c r="I501" s="204"/>
      <c r="J501" s="204"/>
      <c r="K501" s="205">
        <f t="shared" si="35"/>
        <v>626700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>
        <f>745525.85+729545</f>
        <v>1475070.85</v>
      </c>
      <c r="G502" s="18"/>
      <c r="H502" s="18"/>
      <c r="I502" s="18"/>
      <c r="J502" s="18"/>
      <c r="K502" s="53">
        <f t="shared" si="35"/>
        <v>1475070.85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2101770.85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2101770.85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f>1541922.61+386373</f>
        <v>1928295.61</v>
      </c>
      <c r="G521" s="18">
        <f>664119.11+187975.59</f>
        <v>852094.7</v>
      </c>
      <c r="H521" s="18">
        <f>814364.06+419819.32</f>
        <v>1234183.3800000001</v>
      </c>
      <c r="I521" s="18">
        <f>11693.72+2222.13</f>
        <v>13915.849999999999</v>
      </c>
      <c r="J521" s="18">
        <f>12581.99+1204.36</f>
        <v>13786.35</v>
      </c>
      <c r="K521" s="18"/>
      <c r="L521" s="88">
        <f>SUM(F521:K521)</f>
        <v>4042275.8900000006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>
        <f>134027.94</f>
        <v>134027.94</v>
      </c>
      <c r="G523" s="18">
        <f>56310.05</f>
        <v>56310.05</v>
      </c>
      <c r="H523" s="18">
        <f>13763.88+913.12</f>
        <v>14677</v>
      </c>
      <c r="I523" s="18">
        <f>4255.31+1287.42</f>
        <v>5542.7300000000005</v>
      </c>
      <c r="J523" s="18">
        <f>2480.39+289.64</f>
        <v>2770.0299999999997</v>
      </c>
      <c r="K523" s="18"/>
      <c r="L523" s="88">
        <f>SUM(F523:K523)</f>
        <v>213327.75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2062323.55</v>
      </c>
      <c r="G524" s="108">
        <f t="shared" ref="G524:L524" si="36">SUM(G521:G523)</f>
        <v>908404.75</v>
      </c>
      <c r="H524" s="108">
        <f t="shared" si="36"/>
        <v>1248860.3800000001</v>
      </c>
      <c r="I524" s="108">
        <f t="shared" si="36"/>
        <v>19458.579999999998</v>
      </c>
      <c r="J524" s="108">
        <f t="shared" si="36"/>
        <v>16556.38</v>
      </c>
      <c r="K524" s="108">
        <f t="shared" si="36"/>
        <v>0</v>
      </c>
      <c r="L524" s="89">
        <f t="shared" si="36"/>
        <v>4255603.6400000006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v>442731.38</v>
      </c>
      <c r="G526" s="18">
        <v>258960.74</v>
      </c>
      <c r="H526" s="18">
        <v>153.9</v>
      </c>
      <c r="I526" s="18">
        <v>5126.8</v>
      </c>
      <c r="J526" s="18">
        <v>90.71</v>
      </c>
      <c r="K526" s="18"/>
      <c r="L526" s="88">
        <f>SUM(F526:K526)</f>
        <v>707063.53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>
        <v>128381.64</v>
      </c>
      <c r="G528" s="18">
        <v>64511.93</v>
      </c>
      <c r="H528" s="18">
        <v>4411.3500000000004</v>
      </c>
      <c r="I528" s="18">
        <v>3148.9</v>
      </c>
      <c r="J528" s="18"/>
      <c r="K528" s="18">
        <v>1168.75</v>
      </c>
      <c r="L528" s="88">
        <f>SUM(F528:K528)</f>
        <v>201622.57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571113.02</v>
      </c>
      <c r="G529" s="89">
        <f t="shared" ref="G529:L529" si="37">SUM(G526:G528)</f>
        <v>323472.67</v>
      </c>
      <c r="H529" s="89">
        <f t="shared" si="37"/>
        <v>4565.25</v>
      </c>
      <c r="I529" s="89">
        <f t="shared" si="37"/>
        <v>8275.7000000000007</v>
      </c>
      <c r="J529" s="89">
        <f t="shared" si="37"/>
        <v>90.71</v>
      </c>
      <c r="K529" s="89">
        <f t="shared" si="37"/>
        <v>1168.75</v>
      </c>
      <c r="L529" s="89">
        <f t="shared" si="37"/>
        <v>908686.10000000009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v>74894.399999999994</v>
      </c>
      <c r="G531" s="18">
        <v>42693.52</v>
      </c>
      <c r="H531" s="18">
        <v>1748.58</v>
      </c>
      <c r="I531" s="18">
        <v>20.309999999999999</v>
      </c>
      <c r="J531" s="18"/>
      <c r="K531" s="18">
        <v>634.66999999999996</v>
      </c>
      <c r="L531" s="88">
        <f>SUM(F531:K531)</f>
        <v>119991.47999999998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>
        <v>9245.5499999999993</v>
      </c>
      <c r="G533" s="18">
        <v>5270.42</v>
      </c>
      <c r="H533" s="18">
        <v>215.85</v>
      </c>
      <c r="I533" s="18">
        <v>2.5099999999999998</v>
      </c>
      <c r="J533" s="18"/>
      <c r="K533" s="18">
        <v>78.349999999999994</v>
      </c>
      <c r="L533" s="88">
        <f>SUM(F533:K533)</f>
        <v>14812.68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84139.95</v>
      </c>
      <c r="G534" s="89">
        <f t="shared" ref="G534:L534" si="38">SUM(G531:G533)</f>
        <v>47963.939999999995</v>
      </c>
      <c r="H534" s="89">
        <f t="shared" si="38"/>
        <v>1964.4299999999998</v>
      </c>
      <c r="I534" s="89">
        <f t="shared" si="38"/>
        <v>22.82</v>
      </c>
      <c r="J534" s="89">
        <f t="shared" si="38"/>
        <v>0</v>
      </c>
      <c r="K534" s="89">
        <f t="shared" si="38"/>
        <v>713.02</v>
      </c>
      <c r="L534" s="89">
        <f t="shared" si="38"/>
        <v>134804.15999999997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>
        <v>182815.29</v>
      </c>
      <c r="I541" s="18"/>
      <c r="J541" s="18"/>
      <c r="K541" s="18"/>
      <c r="L541" s="88">
        <f>SUM(F541:K541)</f>
        <v>182815.29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>
        <v>57731.15</v>
      </c>
      <c r="I543" s="18"/>
      <c r="J543" s="18"/>
      <c r="K543" s="18"/>
      <c r="L543" s="88">
        <f>SUM(F543:K543)</f>
        <v>57731.15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240546.44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240546.44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2717576.5200000005</v>
      </c>
      <c r="G545" s="89">
        <f t="shared" ref="G545:L545" si="41">G524+G529+G534+G539+G544</f>
        <v>1279841.3599999999</v>
      </c>
      <c r="H545" s="89">
        <f t="shared" si="41"/>
        <v>1495936.5</v>
      </c>
      <c r="I545" s="89">
        <f t="shared" si="41"/>
        <v>27757.1</v>
      </c>
      <c r="J545" s="89">
        <f t="shared" si="41"/>
        <v>16647.09</v>
      </c>
      <c r="K545" s="89">
        <f t="shared" si="41"/>
        <v>1881.77</v>
      </c>
      <c r="L545" s="89">
        <f t="shared" si="41"/>
        <v>5539640.3400000008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4042275.8900000006</v>
      </c>
      <c r="G549" s="87">
        <f>L526</f>
        <v>707063.53</v>
      </c>
      <c r="H549" s="87">
        <f>L531</f>
        <v>119991.47999999998</v>
      </c>
      <c r="I549" s="87">
        <f>L536</f>
        <v>0</v>
      </c>
      <c r="J549" s="87">
        <f>L541</f>
        <v>182815.29</v>
      </c>
      <c r="K549" s="87">
        <f>SUM(F549:J549)</f>
        <v>5052146.1900000004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213327.75</v>
      </c>
      <c r="G551" s="87">
        <f>L528</f>
        <v>201622.57</v>
      </c>
      <c r="H551" s="87">
        <f>L533</f>
        <v>14812.68</v>
      </c>
      <c r="I551" s="87">
        <f>L538</f>
        <v>0</v>
      </c>
      <c r="J551" s="87">
        <f>L543</f>
        <v>57731.15</v>
      </c>
      <c r="K551" s="87">
        <f>SUM(F551:J551)</f>
        <v>487494.15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4255603.6400000006</v>
      </c>
      <c r="G552" s="89">
        <f t="shared" si="42"/>
        <v>908686.10000000009</v>
      </c>
      <c r="H552" s="89">
        <f t="shared" si="42"/>
        <v>134804.15999999997</v>
      </c>
      <c r="I552" s="89">
        <f t="shared" si="42"/>
        <v>0</v>
      </c>
      <c r="J552" s="89">
        <f t="shared" si="42"/>
        <v>240546.44</v>
      </c>
      <c r="K552" s="89">
        <f t="shared" si="42"/>
        <v>5539640.3400000008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>
        <v>82586.97</v>
      </c>
      <c r="G579" s="18"/>
      <c r="H579" s="18"/>
      <c r="I579" s="87">
        <f t="shared" si="47"/>
        <v>82586.97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>
        <v>356409.73</v>
      </c>
      <c r="G582" s="18"/>
      <c r="H582" s="18">
        <v>166415.48000000001</v>
      </c>
      <c r="I582" s="87">
        <f t="shared" si="47"/>
        <v>522825.20999999996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>
        <v>133835.5</v>
      </c>
      <c r="I584" s="87">
        <f t="shared" si="47"/>
        <v>133835.5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209027.47</v>
      </c>
      <c r="I591" s="18"/>
      <c r="J591" s="18">
        <v>73084.97</v>
      </c>
      <c r="K591" s="104">
        <f t="shared" ref="K591:K597" si="48">SUM(H591:J591)</f>
        <v>282112.44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182815.29</v>
      </c>
      <c r="I592" s="18"/>
      <c r="J592" s="18">
        <v>57731.15</v>
      </c>
      <c r="K592" s="104">
        <f t="shared" si="48"/>
        <v>240546.44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>
        <v>46905</v>
      </c>
      <c r="K593" s="104">
        <f t="shared" si="48"/>
        <v>46905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>
        <v>4144.2299999999996</v>
      </c>
      <c r="I594" s="18"/>
      <c r="J594" s="18">
        <v>27620.05</v>
      </c>
      <c r="K594" s="104">
        <f t="shared" si="48"/>
        <v>31764.28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10878.67</v>
      </c>
      <c r="I595" s="18"/>
      <c r="J595" s="18">
        <v>9124.08</v>
      </c>
      <c r="K595" s="104">
        <f t="shared" si="48"/>
        <v>20002.75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406865.66</v>
      </c>
      <c r="I598" s="108">
        <f>SUM(I591:I597)</f>
        <v>0</v>
      </c>
      <c r="J598" s="108">
        <f>SUM(J591:J597)</f>
        <v>214465.24999999997</v>
      </c>
      <c r="K598" s="108">
        <f>SUM(K591:K597)</f>
        <v>621330.91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v>180442.03</v>
      </c>
      <c r="I604" s="18"/>
      <c r="J604" s="18">
        <v>171095.38</v>
      </c>
      <c r="K604" s="104">
        <f>SUM(H604:J604)</f>
        <v>351537.41000000003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180442.03</v>
      </c>
      <c r="I605" s="108">
        <f>SUM(I602:I604)</f>
        <v>0</v>
      </c>
      <c r="J605" s="108">
        <f>SUM(J602:J604)</f>
        <v>171095.38</v>
      </c>
      <c r="K605" s="108">
        <f>SUM(K602:K604)</f>
        <v>351537.41000000003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>
        <v>33200.94</v>
      </c>
      <c r="G611" s="18">
        <v>6222.51</v>
      </c>
      <c r="H611" s="18"/>
      <c r="I611" s="18"/>
      <c r="J611" s="18"/>
      <c r="K611" s="18"/>
      <c r="L611" s="88">
        <f>SUM(F611:K611)</f>
        <v>39423.450000000004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33200.94</v>
      </c>
      <c r="G614" s="108">
        <f t="shared" si="49"/>
        <v>6222.51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39423.450000000004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1386507.04</v>
      </c>
      <c r="H617" s="109">
        <f>SUM(F52)</f>
        <v>1386507.04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14459.060000000001</v>
      </c>
      <c r="H618" s="109">
        <f>SUM(G52)</f>
        <v>14459.060000000001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19651.2</v>
      </c>
      <c r="H619" s="109">
        <f>SUM(H52)</f>
        <v>19651.2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35171422.510000005</v>
      </c>
      <c r="H620" s="109">
        <f>SUM(I52)</f>
        <v>35171422.510000005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726890.17999999993</v>
      </c>
      <c r="H621" s="109">
        <f>SUM(J52)</f>
        <v>726890.17999999993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799117.99</v>
      </c>
      <c r="H622" s="109">
        <f>F476</f>
        <v>799117.99000000209</v>
      </c>
      <c r="I622" s="121" t="s">
        <v>101</v>
      </c>
      <c r="J622" s="109">
        <f t="shared" ref="J622:J655" si="50">G622-H622</f>
        <v>-2.0954757928848267E-9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18269.77</v>
      </c>
      <c r="H623" s="109">
        <f>G476</f>
        <v>18269.770000000019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19651.2</v>
      </c>
      <c r="H624" s="109">
        <f>H476</f>
        <v>19651.20000000007</v>
      </c>
      <c r="I624" s="121" t="s">
        <v>103</v>
      </c>
      <c r="J624" s="109">
        <f t="shared" si="50"/>
        <v>-6.9121597334742546E-11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34176243.920000002</v>
      </c>
      <c r="H625" s="109">
        <f>I476</f>
        <v>34176243.920000009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726890.17999999993</v>
      </c>
      <c r="H626" s="109">
        <f>J476</f>
        <v>726890.18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17619621.159999996</v>
      </c>
      <c r="H627" s="104">
        <f>SUM(F468)</f>
        <v>17619621.16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351733.29</v>
      </c>
      <c r="H628" s="104">
        <f>SUM(G468)</f>
        <v>351733.29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390398.41</v>
      </c>
      <c r="H629" s="104">
        <f>SUM(H468)</f>
        <v>390398.41000000003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39067973.590000004</v>
      </c>
      <c r="H630" s="104">
        <f>SUM(I468)</f>
        <v>39067973.590000004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2177.1799999999998</v>
      </c>
      <c r="H631" s="104">
        <f>SUM(J468)</f>
        <v>2177.1799999999998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17856168.43</v>
      </c>
      <c r="H632" s="104">
        <f>SUM(F472)</f>
        <v>17856168.43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399251.55000000005</v>
      </c>
      <c r="H633" s="104">
        <f>SUM(H472)</f>
        <v>399251.55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153145.39000000001</v>
      </c>
      <c r="H634" s="104">
        <f>I369</f>
        <v>153145.38999999998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357888.11</v>
      </c>
      <c r="H635" s="104">
        <f>SUM(G472)</f>
        <v>357888.11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4645092.87</v>
      </c>
      <c r="H636" s="104">
        <f>SUM(I472)</f>
        <v>4645092.87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2177.1799999999998</v>
      </c>
      <c r="H637" s="164">
        <f>SUM(J468)</f>
        <v>2177.1799999999998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323282.73</v>
      </c>
      <c r="H639" s="104">
        <f>SUM(F461)</f>
        <v>323282.73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403607.45</v>
      </c>
      <c r="H640" s="104">
        <f>SUM(G461)</f>
        <v>403607.45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726890.17999999993</v>
      </c>
      <c r="H642" s="104">
        <f>SUM(I461)</f>
        <v>726890.17999999993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2177.1799999999998</v>
      </c>
      <c r="H644" s="104">
        <f>H408</f>
        <v>2177.1799999999998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0</v>
      </c>
      <c r="H645" s="104">
        <f>G408</f>
        <v>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2177.1799999999998</v>
      </c>
      <c r="H646" s="104">
        <f>L408</f>
        <v>2177.1799999999998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621330.91</v>
      </c>
      <c r="H647" s="104">
        <f>L208+L226+L244</f>
        <v>621330.90999999992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351537.41000000003</v>
      </c>
      <c r="H648" s="104">
        <f>(J257+J338)-(J255+J336)</f>
        <v>351537.41000000003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406865.66</v>
      </c>
      <c r="H649" s="104">
        <f>H598</f>
        <v>406865.66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0</v>
      </c>
      <c r="H650" s="104">
        <f>I598</f>
        <v>0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214465.25</v>
      </c>
      <c r="H651" s="104">
        <f>J598</f>
        <v>214465.24999999997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2907.1</v>
      </c>
      <c r="H652" s="104">
        <f>K263+K345</f>
        <v>2907.1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0</v>
      </c>
      <c r="H655" s="104">
        <f>K266+K347</f>
        <v>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12795481.109999999</v>
      </c>
      <c r="G660" s="19">
        <f>(L229+L309+L359)</f>
        <v>0</v>
      </c>
      <c r="H660" s="19">
        <f>(L247+L328+L360)</f>
        <v>4936856.0999999996</v>
      </c>
      <c r="I660" s="19">
        <f>SUM(F660:H660)</f>
        <v>17732337.210000001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150825.48100360474</v>
      </c>
      <c r="G661" s="19">
        <f>(L359/IF(SUM(L358:L360)=0,1,SUM(L358:L360))*(SUM(G97:G110)))</f>
        <v>0</v>
      </c>
      <c r="H661" s="19">
        <f>(L360/IF(SUM(L358:L360)=0,1,SUM(L358:L360))*(SUM(G97:G110)))</f>
        <v>37523.348996395274</v>
      </c>
      <c r="I661" s="19">
        <f>SUM(F661:H661)</f>
        <v>188348.83000000002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406865.66</v>
      </c>
      <c r="G662" s="19">
        <f>(L226+L306)-(J226+J306)</f>
        <v>0</v>
      </c>
      <c r="H662" s="19">
        <f>(L244+L325)-(J244+J325)</f>
        <v>216260.65</v>
      </c>
      <c r="I662" s="19">
        <f>SUM(F662:H662)</f>
        <v>623126.30999999994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658862.17999999993</v>
      </c>
      <c r="G663" s="199">
        <f>SUM(G575:G587)+SUM(I602:I604)+L612</f>
        <v>0</v>
      </c>
      <c r="H663" s="199">
        <f>SUM(H575:H587)+SUM(J602:J604)+L613</f>
        <v>471346.36</v>
      </c>
      <c r="I663" s="19">
        <f>SUM(F663:H663)</f>
        <v>1130208.54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11578927.788996395</v>
      </c>
      <c r="G664" s="19">
        <f>G660-SUM(G661:G663)</f>
        <v>0</v>
      </c>
      <c r="H664" s="19">
        <f>H660-SUM(H661:H663)</f>
        <v>4211725.7410036046</v>
      </c>
      <c r="I664" s="19">
        <f>I660-SUM(I661:I663)</f>
        <v>15790653.530000001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752.15</v>
      </c>
      <c r="G665" s="248"/>
      <c r="H665" s="248">
        <v>265.11</v>
      </c>
      <c r="I665" s="19">
        <f>SUM(F665:H665)</f>
        <v>1017.26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15394.44</v>
      </c>
      <c r="G667" s="19" t="e">
        <f>ROUND(G664/G665,2)</f>
        <v>#DIV/0!</v>
      </c>
      <c r="H667" s="19">
        <f>ROUND(H664/H665,2)</f>
        <v>15886.71</v>
      </c>
      <c r="I667" s="19">
        <f>ROUND(I664/I665,2)</f>
        <v>15522.73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>
        <v>-20</v>
      </c>
      <c r="I670" s="19">
        <f>SUM(F670:H670)</f>
        <v>-20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15394.44</v>
      </c>
      <c r="G672" s="19" t="e">
        <f>ROUND((G664+G669)/(G665+G670),2)</f>
        <v>#DIV/0!</v>
      </c>
      <c r="H672" s="19">
        <f>ROUND((H664+H669)/(H665+H670),2)</f>
        <v>17183</v>
      </c>
      <c r="I672" s="19">
        <f>ROUND((I664+I669)/(I665+I670),2)</f>
        <v>15834.04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21" sqref="C2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Newmarket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4168867.6200000006</v>
      </c>
      <c r="C9" s="229">
        <f>'DOE25'!G197+'DOE25'!G215+'DOE25'!G233+'DOE25'!G276+'DOE25'!G295+'DOE25'!G314</f>
        <v>2166568.7100000004</v>
      </c>
    </row>
    <row r="10" spans="1:3" x14ac:dyDescent="0.2">
      <c r="A10" t="s">
        <v>773</v>
      </c>
      <c r="B10" s="240">
        <v>4001828.44</v>
      </c>
      <c r="C10" s="240">
        <v>2089998.28</v>
      </c>
    </row>
    <row r="11" spans="1:3" x14ac:dyDescent="0.2">
      <c r="A11" t="s">
        <v>774</v>
      </c>
      <c r="B11" s="240">
        <v>79531.149999999994</v>
      </c>
      <c r="C11" s="240">
        <v>69876.070000000007</v>
      </c>
    </row>
    <row r="12" spans="1:3" x14ac:dyDescent="0.2">
      <c r="A12" t="s">
        <v>775</v>
      </c>
      <c r="B12" s="240">
        <v>87508.03</v>
      </c>
      <c r="C12" s="240">
        <v>6694.36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4168867.6199999996</v>
      </c>
      <c r="C13" s="231">
        <f>SUM(C10:C12)</f>
        <v>2166568.71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2068886.55</v>
      </c>
      <c r="C18" s="229">
        <f>'DOE25'!G198+'DOE25'!G216+'DOE25'!G234+'DOE25'!G277+'DOE25'!G296+'DOE25'!G315</f>
        <v>901842.6</v>
      </c>
    </row>
    <row r="19" spans="1:3" x14ac:dyDescent="0.2">
      <c r="A19" t="s">
        <v>773</v>
      </c>
      <c r="B19" s="240">
        <v>1205997.75</v>
      </c>
      <c r="C19" s="240">
        <v>648717.5</v>
      </c>
    </row>
    <row r="20" spans="1:3" x14ac:dyDescent="0.2">
      <c r="A20" t="s">
        <v>774</v>
      </c>
      <c r="B20" s="240">
        <v>835766.82</v>
      </c>
      <c r="C20" s="240">
        <v>251050.27</v>
      </c>
    </row>
    <row r="21" spans="1:3" x14ac:dyDescent="0.2">
      <c r="A21" t="s">
        <v>775</v>
      </c>
      <c r="B21" s="240">
        <v>27121.98</v>
      </c>
      <c r="C21" s="240">
        <v>2074.83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2068886.5499999998</v>
      </c>
      <c r="C22" s="231">
        <f>SUM(C19:C21)</f>
        <v>901842.6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359184.10000000003</v>
      </c>
      <c r="C36" s="235">
        <f>'DOE25'!G200+'DOE25'!G218+'DOE25'!G236+'DOE25'!G279+'DOE25'!G298+'DOE25'!G317</f>
        <v>142470.95000000001</v>
      </c>
    </row>
    <row r="37" spans="1:3" x14ac:dyDescent="0.2">
      <c r="A37" t="s">
        <v>773</v>
      </c>
      <c r="B37" s="240">
        <v>173404.12</v>
      </c>
      <c r="C37" s="240">
        <v>97053.82</v>
      </c>
    </row>
    <row r="38" spans="1:3" x14ac:dyDescent="0.2">
      <c r="A38" t="s">
        <v>774</v>
      </c>
      <c r="B38" s="240">
        <v>184679.98</v>
      </c>
      <c r="C38" s="240">
        <v>45332.98</v>
      </c>
    </row>
    <row r="39" spans="1:3" x14ac:dyDescent="0.2">
      <c r="A39" t="s">
        <v>775</v>
      </c>
      <c r="B39" s="240">
        <v>1100</v>
      </c>
      <c r="C39" s="240">
        <v>84.15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359184.1</v>
      </c>
      <c r="C40" s="231">
        <f>SUM(C37:C39)</f>
        <v>142470.95000000001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A5" sqref="A5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Newmarket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11149495.440000001</v>
      </c>
      <c r="D5" s="20">
        <f>SUM('DOE25'!L197:L200)+SUM('DOE25'!L215:L218)+SUM('DOE25'!L233:L236)-F5-G5</f>
        <v>11060243.160000002</v>
      </c>
      <c r="E5" s="243"/>
      <c r="F5" s="255">
        <f>SUM('DOE25'!J197:J200)+SUM('DOE25'!J215:J218)+SUM('DOE25'!J233:J236)</f>
        <v>67153.279999999999</v>
      </c>
      <c r="G5" s="53">
        <f>SUM('DOE25'!K197:K200)+SUM('DOE25'!K215:K218)+SUM('DOE25'!K233:K236)</f>
        <v>22099</v>
      </c>
      <c r="H5" s="259"/>
    </row>
    <row r="6" spans="1:9" x14ac:dyDescent="0.2">
      <c r="A6" s="32">
        <v>2100</v>
      </c>
      <c r="B6" t="s">
        <v>795</v>
      </c>
      <c r="C6" s="245">
        <f t="shared" si="0"/>
        <v>1129947.3</v>
      </c>
      <c r="D6" s="20">
        <f>'DOE25'!L202+'DOE25'!L220+'DOE25'!L238-F6-G6</f>
        <v>1128572.3</v>
      </c>
      <c r="E6" s="243"/>
      <c r="F6" s="255">
        <f>'DOE25'!J202+'DOE25'!J220+'DOE25'!J238</f>
        <v>0</v>
      </c>
      <c r="G6" s="53">
        <f>'DOE25'!K202+'DOE25'!K220+'DOE25'!K238</f>
        <v>1375</v>
      </c>
      <c r="H6" s="259"/>
    </row>
    <row r="7" spans="1:9" x14ac:dyDescent="0.2">
      <c r="A7" s="32">
        <v>2200</v>
      </c>
      <c r="B7" t="s">
        <v>828</v>
      </c>
      <c r="C7" s="245">
        <f t="shared" si="0"/>
        <v>1019361.0900000001</v>
      </c>
      <c r="D7" s="20">
        <f>'DOE25'!L203+'DOE25'!L221+'DOE25'!L239-F7-G7</f>
        <v>786697.03000000014</v>
      </c>
      <c r="E7" s="243"/>
      <c r="F7" s="255">
        <f>'DOE25'!J203+'DOE25'!J221+'DOE25'!J239</f>
        <v>230960.49</v>
      </c>
      <c r="G7" s="53">
        <f>'DOE25'!K203+'DOE25'!K221+'DOE25'!K239</f>
        <v>1703.5700000000002</v>
      </c>
      <c r="H7" s="259"/>
    </row>
    <row r="8" spans="1:9" x14ac:dyDescent="0.2">
      <c r="A8" s="32">
        <v>2300</v>
      </c>
      <c r="B8" t="s">
        <v>796</v>
      </c>
      <c r="C8" s="245">
        <f t="shared" si="0"/>
        <v>231925.76000000007</v>
      </c>
      <c r="D8" s="243"/>
      <c r="E8" s="20">
        <f>'DOE25'!L204+'DOE25'!L222+'DOE25'!L240-F8-G8-D9-D11</f>
        <v>195897.44000000006</v>
      </c>
      <c r="F8" s="255">
        <f>'DOE25'!J204+'DOE25'!J222+'DOE25'!J240</f>
        <v>0</v>
      </c>
      <c r="G8" s="53">
        <f>'DOE25'!K204+'DOE25'!K222+'DOE25'!K240</f>
        <v>36028.32</v>
      </c>
      <c r="H8" s="259"/>
    </row>
    <row r="9" spans="1:9" x14ac:dyDescent="0.2">
      <c r="A9" s="32">
        <v>2310</v>
      </c>
      <c r="B9" t="s">
        <v>812</v>
      </c>
      <c r="C9" s="245">
        <f t="shared" si="0"/>
        <v>103520.46</v>
      </c>
      <c r="D9" s="244">
        <v>103520.46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12803.32</v>
      </c>
      <c r="D10" s="243"/>
      <c r="E10" s="244">
        <v>12803.32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283698.8</v>
      </c>
      <c r="D11" s="244">
        <v>283698.8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884987.36999999988</v>
      </c>
      <c r="D12" s="20">
        <f>'DOE25'!L205+'DOE25'!L223+'DOE25'!L241-F12-G12</f>
        <v>870806.86999999988</v>
      </c>
      <c r="E12" s="243"/>
      <c r="F12" s="255">
        <f>'DOE25'!J205+'DOE25'!J223+'DOE25'!J241</f>
        <v>84.58</v>
      </c>
      <c r="G12" s="53">
        <f>'DOE25'!K205+'DOE25'!K223+'DOE25'!K241</f>
        <v>14095.92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270795.71000000002</v>
      </c>
      <c r="D13" s="243"/>
      <c r="E13" s="20">
        <f>'DOE25'!L206+'DOE25'!L224+'DOE25'!L242-F13-G13</f>
        <v>268399.43</v>
      </c>
      <c r="F13" s="255">
        <f>'DOE25'!J206+'DOE25'!J224+'DOE25'!J242</f>
        <v>0</v>
      </c>
      <c r="G13" s="53">
        <f>'DOE25'!K206+'DOE25'!K224+'DOE25'!K242</f>
        <v>2396.2800000000002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1197686.75</v>
      </c>
      <c r="D14" s="20">
        <f>'DOE25'!L207+'DOE25'!L225+'DOE25'!L243-F14-G14</f>
        <v>1149331.97</v>
      </c>
      <c r="E14" s="243"/>
      <c r="F14" s="255">
        <f>'DOE25'!J207+'DOE25'!J225+'DOE25'!J243</f>
        <v>48354.78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621330.90999999992</v>
      </c>
      <c r="D15" s="20">
        <f>'DOE25'!L208+'DOE25'!L226+'DOE25'!L244-F15-G15</f>
        <v>621330.90999999992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82447.959999999992</v>
      </c>
      <c r="D16" s="243"/>
      <c r="E16" s="20">
        <f>'DOE25'!L209+'DOE25'!L227+'DOE25'!L245-F16-G16</f>
        <v>82447.959999999992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878063.78</v>
      </c>
      <c r="D25" s="243"/>
      <c r="E25" s="243"/>
      <c r="F25" s="258"/>
      <c r="G25" s="256"/>
      <c r="H25" s="257">
        <f>'DOE25'!L260+'DOE25'!L261+'DOE25'!L341+'DOE25'!L342</f>
        <v>878063.78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212486.12</v>
      </c>
      <c r="D29" s="20">
        <f>'DOE25'!L358+'DOE25'!L359+'DOE25'!L360-'DOE25'!I367-F29-G29</f>
        <v>211631.12</v>
      </c>
      <c r="E29" s="243"/>
      <c r="F29" s="255">
        <f>'DOE25'!J358+'DOE25'!J359+'DOE25'!J360</f>
        <v>0</v>
      </c>
      <c r="G29" s="53">
        <f>'DOE25'!K358+'DOE25'!K359+'DOE25'!K360</f>
        <v>855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399251.55000000005</v>
      </c>
      <c r="D31" s="20">
        <f>'DOE25'!L290+'DOE25'!L309+'DOE25'!L328+'DOE25'!L333+'DOE25'!L334+'DOE25'!L335-F31-G31</f>
        <v>394267.27</v>
      </c>
      <c r="E31" s="243"/>
      <c r="F31" s="255">
        <f>'DOE25'!J290+'DOE25'!J309+'DOE25'!J328+'DOE25'!J333+'DOE25'!J334+'DOE25'!J335</f>
        <v>4984.28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16610099.890000002</v>
      </c>
      <c r="E33" s="246">
        <f>SUM(E5:E31)</f>
        <v>559548.15</v>
      </c>
      <c r="F33" s="246">
        <f>SUM(F5:F31)</f>
        <v>351537.41000000003</v>
      </c>
      <c r="G33" s="246">
        <f>SUM(G5:G31)</f>
        <v>78553.09</v>
      </c>
      <c r="H33" s="246">
        <f>SUM(H5:H31)</f>
        <v>878063.78</v>
      </c>
    </row>
    <row r="35" spans="2:8" ht="12" thickBot="1" x14ac:dyDescent="0.25">
      <c r="B35" s="253" t="s">
        <v>841</v>
      </c>
      <c r="D35" s="254">
        <f>E33</f>
        <v>559548.15</v>
      </c>
      <c r="E35" s="249"/>
    </row>
    <row r="36" spans="2:8" ht="12" thickTop="1" x14ac:dyDescent="0.2">
      <c r="B36" t="s">
        <v>809</v>
      </c>
      <c r="D36" s="20">
        <f>D33</f>
        <v>16610099.890000002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135" activePane="bottomLeft" state="frozen"/>
      <selection activeCell="F46" sqref="F46"/>
      <selection pane="bottomLeft" activeCell="G146" sqref="G14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Newmarket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1311619.68</v>
      </c>
      <c r="D8" s="95">
        <f>'DOE25'!G9</f>
        <v>0</v>
      </c>
      <c r="E8" s="95">
        <f>'DOE25'!H9</f>
        <v>19148.7</v>
      </c>
      <c r="F8" s="95">
        <f>'DOE25'!I9</f>
        <v>4182695.92</v>
      </c>
      <c r="G8" s="95">
        <f>'DOE25'!J9</f>
        <v>726890.17999999993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30950000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502.5</v>
      </c>
      <c r="F11" s="95">
        <f>'DOE25'!I12</f>
        <v>38726.589999999997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74887.360000000001</v>
      </c>
      <c r="D12" s="95">
        <f>'DOE25'!G13</f>
        <v>9790.61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8703.02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-4034.57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1386507.04</v>
      </c>
      <c r="D18" s="41">
        <f>SUM(D8:D17)</f>
        <v>14459.060000000001</v>
      </c>
      <c r="E18" s="41">
        <f>SUM(E8:E17)</f>
        <v>19651.2</v>
      </c>
      <c r="F18" s="41">
        <f>SUM(F8:F17)</f>
        <v>35171422.510000005</v>
      </c>
      <c r="G18" s="41">
        <f>SUM(G8:G17)</f>
        <v>726890.17999999993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-3810.71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587389.05000000005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995178.59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587389.05000000005</v>
      </c>
      <c r="D31" s="41">
        <f>SUM(D21:D30)</f>
        <v>-3810.71</v>
      </c>
      <c r="E31" s="41">
        <f>SUM(E21:E30)</f>
        <v>0</v>
      </c>
      <c r="F31" s="41">
        <f>SUM(F21:F30)</f>
        <v>995178.59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18269.77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365075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19651.2</v>
      </c>
      <c r="F47" s="95">
        <f>'DOE25'!I48</f>
        <v>34176243.920000002</v>
      </c>
      <c r="G47" s="95">
        <f>'DOE25'!J48</f>
        <v>726890.17999999993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53111.97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380931.02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799117.99</v>
      </c>
      <c r="D50" s="41">
        <f>SUM(D34:D49)</f>
        <v>18269.77</v>
      </c>
      <c r="E50" s="41">
        <f>SUM(E34:E49)</f>
        <v>19651.2</v>
      </c>
      <c r="F50" s="41">
        <f>SUM(F34:F49)</f>
        <v>34176243.920000002</v>
      </c>
      <c r="G50" s="41">
        <f>SUM(G34:G49)</f>
        <v>726890.17999999993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1386507.04</v>
      </c>
      <c r="D51" s="41">
        <f>D50+D31</f>
        <v>14459.060000000001</v>
      </c>
      <c r="E51" s="41">
        <f>E50+E31</f>
        <v>19651.2</v>
      </c>
      <c r="F51" s="41">
        <f>F50+F31</f>
        <v>35171422.510000005</v>
      </c>
      <c r="G51" s="41">
        <f>G50+G31</f>
        <v>726890.17999999993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12823624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32174.04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6799.66</v>
      </c>
      <c r="D59" s="95">
        <f>'DOE25'!G96</f>
        <v>0</v>
      </c>
      <c r="E59" s="95">
        <f>'DOE25'!H96</f>
        <v>0</v>
      </c>
      <c r="F59" s="95">
        <f>'DOE25'!I96</f>
        <v>121690.59</v>
      </c>
      <c r="G59" s="95">
        <f>'DOE25'!J96</f>
        <v>2177.1799999999998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184687.84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62701.87</v>
      </c>
      <c r="D61" s="95">
        <f>SUM('DOE25'!G98:G110)</f>
        <v>3660.99</v>
      </c>
      <c r="E61" s="95">
        <f>SUM('DOE25'!H98:H110)</f>
        <v>0</v>
      </c>
      <c r="F61" s="95">
        <f>SUM('DOE25'!I98:I110)</f>
        <v>3200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101675.57</v>
      </c>
      <c r="D62" s="130">
        <f>SUM(D57:D61)</f>
        <v>188348.83</v>
      </c>
      <c r="E62" s="130">
        <f>SUM(E57:E61)</f>
        <v>0</v>
      </c>
      <c r="F62" s="130">
        <f>SUM(F57:F61)</f>
        <v>124890.59</v>
      </c>
      <c r="G62" s="130">
        <f>SUM(G57:G61)</f>
        <v>2177.1799999999998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12925299.57</v>
      </c>
      <c r="D63" s="22">
        <f>D56+D62</f>
        <v>188348.83</v>
      </c>
      <c r="E63" s="22">
        <f>E56+E62</f>
        <v>0</v>
      </c>
      <c r="F63" s="22">
        <f>F56+F62</f>
        <v>124890.59</v>
      </c>
      <c r="G63" s="22">
        <f>G56+G62</f>
        <v>2177.1799999999998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2416609.48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1779364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26482.27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4222455.75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135288.57999999999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17251.2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38726.589999999997</v>
      </c>
      <c r="D77" s="95">
        <f>SUM('DOE25'!G131:G135)</f>
        <v>4962.0200000000004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191266.37</v>
      </c>
      <c r="D78" s="130">
        <f>SUM(D72:D77)</f>
        <v>4962.0200000000004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4413722.12</v>
      </c>
      <c r="D81" s="130">
        <f>SUM(D79:D80)+D78+D70</f>
        <v>4962.0200000000004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23908.080000000002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280599.46999999997</v>
      </c>
      <c r="D88" s="95">
        <f>SUM('DOE25'!G153:G161)</f>
        <v>131607.26</v>
      </c>
      <c r="E88" s="95">
        <f>SUM('DOE25'!H153:H161)</f>
        <v>378429.70999999996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11968.7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280599.46999999997</v>
      </c>
      <c r="D91" s="131">
        <f>SUM(D85:D90)</f>
        <v>155515.34000000003</v>
      </c>
      <c r="E91" s="131">
        <f>SUM(E85:E90)</f>
        <v>390398.41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38943083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2907.1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2907.1</v>
      </c>
      <c r="E103" s="86">
        <f>SUM(E93:E102)</f>
        <v>0</v>
      </c>
      <c r="F103" s="86">
        <f>SUM(F93:F102)</f>
        <v>38943083</v>
      </c>
      <c r="G103" s="86">
        <f>SUM(G93:G102)</f>
        <v>0</v>
      </c>
    </row>
    <row r="104" spans="1:7" ht="12.75" thickTop="1" thickBot="1" x14ac:dyDescent="0.25">
      <c r="A104" s="33" t="s">
        <v>759</v>
      </c>
      <c r="C104" s="86">
        <f>C63+C81+C91+C103</f>
        <v>17619621.16</v>
      </c>
      <c r="D104" s="86">
        <f>D63+D81+D91+D103</f>
        <v>351733.29</v>
      </c>
      <c r="E104" s="86">
        <f>E63+E81+E91+E103</f>
        <v>390398.41</v>
      </c>
      <c r="F104" s="86">
        <f>F63+F81+F91+F103</f>
        <v>39067973.590000004</v>
      </c>
      <c r="G104" s="86">
        <f>G63+G81+G103</f>
        <v>2177.1799999999998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6416594.6700000009</v>
      </c>
      <c r="D109" s="24" t="s">
        <v>286</v>
      </c>
      <c r="E109" s="95">
        <f>('DOE25'!L276)+('DOE25'!L295)+('DOE25'!L314)</f>
        <v>130661.38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4042276.74</v>
      </c>
      <c r="D110" s="24" t="s">
        <v>286</v>
      </c>
      <c r="E110" s="95">
        <f>('DOE25'!L277)+('DOE25'!L296)+('DOE25'!L315)</f>
        <v>213327.75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134403.47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556220.56000000006</v>
      </c>
      <c r="D112" s="24" t="s">
        <v>286</v>
      </c>
      <c r="E112" s="95">
        <f>+('DOE25'!L279)+('DOE25'!L298)+('DOE25'!L317)</f>
        <v>1209.19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11149495.440000001</v>
      </c>
      <c r="D115" s="86">
        <f>SUM(D109:D114)</f>
        <v>0</v>
      </c>
      <c r="E115" s="86">
        <f>SUM(E109:E114)</f>
        <v>345198.32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1129947.3</v>
      </c>
      <c r="D118" s="24" t="s">
        <v>286</v>
      </c>
      <c r="E118" s="95">
        <f>+('DOE25'!L281)+('DOE25'!L300)+('DOE25'!L319)</f>
        <v>778.65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1019361.0900000001</v>
      </c>
      <c r="D119" s="24" t="s">
        <v>286</v>
      </c>
      <c r="E119" s="95">
        <f>+('DOE25'!L282)+('DOE25'!L301)+('DOE25'!L320)</f>
        <v>51074.81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619145.02</v>
      </c>
      <c r="D120" s="24" t="s">
        <v>286</v>
      </c>
      <c r="E120" s="95">
        <f>+('DOE25'!L283)+('DOE25'!L302)+('DOE25'!L321)</f>
        <v>179.37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884987.36999999988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270795.71000000002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1197686.75</v>
      </c>
      <c r="D123" s="24" t="s">
        <v>286</v>
      </c>
      <c r="E123" s="95">
        <f>+('DOE25'!L286)+('DOE25'!L305)+('DOE25'!L324)</f>
        <v>225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621330.90999999992</v>
      </c>
      <c r="D124" s="24" t="s">
        <v>286</v>
      </c>
      <c r="E124" s="95">
        <f>+('DOE25'!L287)+('DOE25'!L306)+('DOE25'!L325)</f>
        <v>1795.4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82447.959999999992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357888.11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5825702.1100000003</v>
      </c>
      <c r="D128" s="86">
        <f>SUM(D118:D127)</f>
        <v>357888.11</v>
      </c>
      <c r="E128" s="86">
        <f>SUM(E118:E127)</f>
        <v>54053.23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0</v>
      </c>
      <c r="F130" s="129">
        <f>SUM('DOE25'!L374:'DOE25'!L380)</f>
        <v>4645092.87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878063.78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2907.1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0.47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2176.71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-2177.1799999999998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880970.87999999989</v>
      </c>
      <c r="D144" s="141">
        <f>SUM(D130:D143)</f>
        <v>0</v>
      </c>
      <c r="E144" s="141">
        <f>SUM(E130:E143)</f>
        <v>0</v>
      </c>
      <c r="F144" s="141">
        <f>SUM(F130:F143)</f>
        <v>4645092.87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17856168.43</v>
      </c>
      <c r="D145" s="86">
        <f>(D115+D128+D144)</f>
        <v>357888.11</v>
      </c>
      <c r="E145" s="86">
        <f>(E115+E128+E144)</f>
        <v>399251.55</v>
      </c>
      <c r="F145" s="86">
        <f>(F115+F128+F144)</f>
        <v>4645092.87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29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 t="str">
        <f>'DOE25'!F491</f>
        <v>08/15/17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 t="str">
        <f>'DOE25'!F492</f>
        <v>8/15/46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35816700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3.3290000000000002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35816700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35816700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35816700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35816700</v>
      </c>
    </row>
    <row r="160" spans="1:9" x14ac:dyDescent="0.2">
      <c r="A160" s="22" t="s">
        <v>36</v>
      </c>
      <c r="B160" s="137">
        <f>'DOE25'!F499</f>
        <v>24673305.850000001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24673305.850000001</v>
      </c>
    </row>
    <row r="161" spans="1:7" x14ac:dyDescent="0.2">
      <c r="A161" s="22" t="s">
        <v>37</v>
      </c>
      <c r="B161" s="137">
        <f>'DOE25'!F500</f>
        <v>60490005.850000001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60490005.850000001</v>
      </c>
    </row>
    <row r="162" spans="1:7" x14ac:dyDescent="0.2">
      <c r="A162" s="22" t="s">
        <v>38</v>
      </c>
      <c r="B162" s="137">
        <f>'DOE25'!F501</f>
        <v>626700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626700</v>
      </c>
    </row>
    <row r="163" spans="1:7" x14ac:dyDescent="0.2">
      <c r="A163" s="22" t="s">
        <v>39</v>
      </c>
      <c r="B163" s="137">
        <f>'DOE25'!F502</f>
        <v>1475070.85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1475070.85</v>
      </c>
    </row>
    <row r="164" spans="1:7" x14ac:dyDescent="0.2">
      <c r="A164" s="22" t="s">
        <v>246</v>
      </c>
      <c r="B164" s="137">
        <f>'DOE25'!F503</f>
        <v>2101770.85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2101770.85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D25" sqref="D25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Newmarket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15394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17183</v>
      </c>
    </row>
    <row r="7" spans="1:4" x14ac:dyDescent="0.2">
      <c r="B7" t="s">
        <v>699</v>
      </c>
      <c r="C7" s="179">
        <f>IF('DOE25'!I665+'DOE25'!I670=0,0,ROUND('DOE25'!I672,0))</f>
        <v>15834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6547256</v>
      </c>
      <c r="D10" s="182">
        <f>ROUND((C10/$C$28)*100,1)</f>
        <v>35.5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4255604</v>
      </c>
      <c r="D11" s="182">
        <f>ROUND((C11/$C$28)*100,1)</f>
        <v>23.1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134403</v>
      </c>
      <c r="D12" s="182">
        <f>ROUND((C12/$C$28)*100,1)</f>
        <v>0.7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557430</v>
      </c>
      <c r="D13" s="182">
        <f>ROUND((C13/$C$28)*100,1)</f>
        <v>3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1130726</v>
      </c>
      <c r="D15" s="182">
        <f t="shared" ref="D15:D27" si="0">ROUND((C15/$C$28)*100,1)</f>
        <v>6.1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1070436</v>
      </c>
      <c r="D16" s="182">
        <f t="shared" si="0"/>
        <v>5.8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701772</v>
      </c>
      <c r="D17" s="182">
        <f t="shared" si="0"/>
        <v>3.8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884987</v>
      </c>
      <c r="D18" s="182">
        <f t="shared" si="0"/>
        <v>4.8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270796</v>
      </c>
      <c r="D19" s="182">
        <f t="shared" si="0"/>
        <v>1.5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1197912</v>
      </c>
      <c r="D20" s="182">
        <f t="shared" si="0"/>
        <v>6.5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623126</v>
      </c>
      <c r="D21" s="182">
        <f t="shared" si="0"/>
        <v>3.4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878064</v>
      </c>
      <c r="D25" s="182">
        <f t="shared" si="0"/>
        <v>4.8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169539.17</v>
      </c>
      <c r="D27" s="182">
        <f t="shared" si="0"/>
        <v>0.9</v>
      </c>
    </row>
    <row r="28" spans="1:4" x14ac:dyDescent="0.2">
      <c r="B28" s="187" t="s">
        <v>717</v>
      </c>
      <c r="C28" s="180">
        <f>SUM(C10:C27)</f>
        <v>18422051.170000002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4645093</v>
      </c>
    </row>
    <row r="30" spans="1:4" x14ac:dyDescent="0.2">
      <c r="B30" s="187" t="s">
        <v>723</v>
      </c>
      <c r="C30" s="180">
        <f>SUM(C28:C29)</f>
        <v>23067144.170000002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12823624</v>
      </c>
      <c r="D35" s="182">
        <f t="shared" ref="D35:D40" si="1">ROUND((C35/$C$41)*100,1)</f>
        <v>59.9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3355126.339999998</v>
      </c>
      <c r="D36" s="182">
        <f t="shared" si="1"/>
        <v>15.7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4195973</v>
      </c>
      <c r="D37" s="182">
        <f t="shared" si="1"/>
        <v>19.600000000000001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222711</v>
      </c>
      <c r="D38" s="182">
        <f t="shared" si="1"/>
        <v>1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826513</v>
      </c>
      <c r="D39" s="182">
        <f t="shared" si="1"/>
        <v>3.9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21423947.339999996</v>
      </c>
      <c r="D41" s="184">
        <f>SUM(D35:D40)</f>
        <v>100.1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35816700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764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761</v>
      </c>
      <c r="B2" s="295"/>
      <c r="C2" s="295"/>
      <c r="D2" s="295"/>
      <c r="E2" s="295"/>
      <c r="F2" s="292" t="str">
        <f>'DOE25'!A2</f>
        <v>Newmarket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0" t="s">
        <v>765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842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9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Welch, Matthew</cp:lastModifiedBy>
  <cp:lastPrinted>2018-08-30T19:12:59Z</cp:lastPrinted>
  <dcterms:created xsi:type="dcterms:W3CDTF">1997-12-04T19:04:30Z</dcterms:created>
  <dcterms:modified xsi:type="dcterms:W3CDTF">2018-12-03T19:47:58Z</dcterms:modified>
</cp:coreProperties>
</file>