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2" i="1" l="1"/>
  <c r="H14" i="1"/>
  <c r="F12" i="1"/>
  <c r="F472" i="1"/>
  <c r="H161" i="1"/>
  <c r="H155" i="1"/>
  <c r="H468" i="1" l="1"/>
  <c r="G48" i="1" l="1"/>
  <c r="G14" i="1"/>
  <c r="G12" i="1"/>
  <c r="F14" i="1"/>
  <c r="F29" i="1"/>
  <c r="H30" i="1"/>
  <c r="F24" i="1" l="1"/>
  <c r="F9" i="1"/>
  <c r="F28" i="1" l="1"/>
  <c r="J604" i="1" l="1"/>
  <c r="I604" i="1"/>
  <c r="H604" i="1"/>
  <c r="J591" i="1"/>
  <c r="I591" i="1"/>
  <c r="H591" i="1"/>
  <c r="J593" i="1"/>
  <c r="J592" i="1"/>
  <c r="I592" i="1"/>
  <c r="H596" i="1"/>
  <c r="H595" i="1"/>
  <c r="H592" i="1"/>
  <c r="B10" i="12" l="1"/>
  <c r="B12" i="12"/>
  <c r="B20" i="12"/>
  <c r="F208" i="1"/>
  <c r="F226" i="1"/>
  <c r="F244" i="1"/>
  <c r="G244" i="1"/>
  <c r="G226" i="1"/>
  <c r="G208" i="1"/>
  <c r="G243" i="1"/>
  <c r="F243" i="1"/>
  <c r="G225" i="1"/>
  <c r="F225" i="1"/>
  <c r="G207" i="1"/>
  <c r="F207" i="1"/>
  <c r="G240" i="1"/>
  <c r="F240" i="1"/>
  <c r="G204" i="1"/>
  <c r="G222" i="1"/>
  <c r="F222" i="1"/>
  <c r="F204" i="1"/>
  <c r="G239" i="1"/>
  <c r="F239" i="1"/>
  <c r="G221" i="1"/>
  <c r="F221" i="1"/>
  <c r="G203" i="1"/>
  <c r="F203" i="1"/>
  <c r="G233" i="1"/>
  <c r="F233" i="1"/>
  <c r="G215" i="1"/>
  <c r="F215" i="1"/>
  <c r="G197" i="1"/>
  <c r="F197" i="1"/>
  <c r="G241" i="1"/>
  <c r="F241" i="1"/>
  <c r="G238" i="1"/>
  <c r="F238" i="1"/>
  <c r="F216" i="1"/>
  <c r="G205" i="1"/>
  <c r="F205" i="1"/>
  <c r="G202" i="1"/>
  <c r="F202" i="1"/>
  <c r="G198" i="1"/>
  <c r="F198" i="1"/>
  <c r="I224" i="1" l="1"/>
  <c r="J243" i="1"/>
  <c r="J239" i="1"/>
  <c r="J225" i="1"/>
  <c r="J221" i="1"/>
  <c r="J207" i="1"/>
  <c r="J203" i="1"/>
  <c r="I243" i="1"/>
  <c r="I241" i="1"/>
  <c r="I207" i="1"/>
  <c r="I239" i="1"/>
  <c r="I238" i="1"/>
  <c r="I234" i="1"/>
  <c r="I216" i="1"/>
  <c r="I203" i="1"/>
  <c r="I202" i="1"/>
  <c r="I198" i="1"/>
  <c r="H208" i="1"/>
  <c r="H244" i="1"/>
  <c r="H226" i="1"/>
  <c r="H243" i="1"/>
  <c r="H225" i="1"/>
  <c r="H207" i="1"/>
  <c r="H239" i="1"/>
  <c r="H221" i="1"/>
  <c r="H203" i="1"/>
  <c r="H238" i="1"/>
  <c r="H234" i="1"/>
  <c r="H220" i="1"/>
  <c r="H216" i="1"/>
  <c r="H202" i="1"/>
  <c r="H198" i="1"/>
  <c r="G223" i="1" l="1"/>
  <c r="G220" i="1"/>
  <c r="G234" i="1"/>
  <c r="G216" i="1"/>
  <c r="F220" i="1"/>
  <c r="F234" i="1"/>
  <c r="L16" i="14"/>
  <c r="H15" i="14"/>
  <c r="G15" i="14"/>
  <c r="F15" i="14"/>
  <c r="L15" i="14" s="1"/>
  <c r="J14" i="14"/>
  <c r="I14" i="14"/>
  <c r="H14" i="14"/>
  <c r="G14" i="14"/>
  <c r="F14" i="14"/>
  <c r="L14" i="14" s="1"/>
  <c r="L13" i="14"/>
  <c r="L12" i="14"/>
  <c r="L11" i="14"/>
  <c r="H10" i="14"/>
  <c r="L10" i="14" s="1"/>
  <c r="G10" i="14"/>
  <c r="F10" i="14"/>
  <c r="I9" i="14"/>
  <c r="L9" i="14" s="1"/>
  <c r="H9" i="14"/>
  <c r="G9" i="14"/>
  <c r="F9" i="14"/>
  <c r="L7" i="14"/>
  <c r="L6" i="14"/>
  <c r="I5" i="14"/>
  <c r="H5" i="14"/>
  <c r="G5" i="14"/>
  <c r="F5" i="14"/>
  <c r="L5" i="14" s="1"/>
  <c r="G4" i="14"/>
  <c r="L4" i="14" s="1"/>
  <c r="F4" i="14"/>
  <c r="K77" i="14"/>
  <c r="J77" i="14"/>
  <c r="I77" i="14"/>
  <c r="H77" i="14"/>
  <c r="G77" i="14"/>
  <c r="F77" i="14"/>
  <c r="L76" i="14"/>
  <c r="L75" i="14"/>
  <c r="L73" i="14"/>
  <c r="L72" i="14"/>
  <c r="L71" i="14"/>
  <c r="L70" i="14"/>
  <c r="L68" i="14"/>
  <c r="L67" i="14"/>
  <c r="K63" i="14"/>
  <c r="J63" i="14"/>
  <c r="I63" i="14"/>
  <c r="H63" i="14"/>
  <c r="G63" i="14"/>
  <c r="F63" i="14"/>
  <c r="L62" i="14"/>
  <c r="L61" i="14"/>
  <c r="L60" i="14"/>
  <c r="L59" i="14"/>
  <c r="L58" i="14"/>
  <c r="L57" i="14"/>
  <c r="K54" i="14"/>
  <c r="L52" i="14"/>
  <c r="H51" i="14"/>
  <c r="G51" i="14"/>
  <c r="F51" i="14"/>
  <c r="J50" i="14"/>
  <c r="J54" i="14" s="1"/>
  <c r="I50" i="14"/>
  <c r="H50" i="14"/>
  <c r="G50" i="14"/>
  <c r="F50" i="14"/>
  <c r="L49" i="14"/>
  <c r="H48" i="14"/>
  <c r="L48" i="14" s="1"/>
  <c r="L47" i="14"/>
  <c r="H46" i="14"/>
  <c r="G46" i="14"/>
  <c r="F46" i="14"/>
  <c r="L46" i="14" s="1"/>
  <c r="I45" i="14"/>
  <c r="H45" i="14"/>
  <c r="G45" i="14"/>
  <c r="F45" i="14"/>
  <c r="L43" i="14"/>
  <c r="L42" i="14"/>
  <c r="I41" i="14"/>
  <c r="H41" i="14"/>
  <c r="H54" i="14" s="1"/>
  <c r="G41" i="14"/>
  <c r="F41" i="14"/>
  <c r="G40" i="14"/>
  <c r="F40" i="14"/>
  <c r="K36" i="14"/>
  <c r="L34" i="14"/>
  <c r="H33" i="14"/>
  <c r="G33" i="14"/>
  <c r="F33" i="14"/>
  <c r="L33" i="14" s="1"/>
  <c r="J32" i="14"/>
  <c r="J36" i="14" s="1"/>
  <c r="I32" i="14"/>
  <c r="H32" i="14"/>
  <c r="G32" i="14"/>
  <c r="F32" i="14"/>
  <c r="F31" i="14"/>
  <c r="L31" i="14" s="1"/>
  <c r="L30" i="14"/>
  <c r="L29" i="14"/>
  <c r="F29" i="14"/>
  <c r="H28" i="14"/>
  <c r="G28" i="14"/>
  <c r="L28" i="14" s="1"/>
  <c r="F28" i="14"/>
  <c r="H27" i="14"/>
  <c r="G27" i="14"/>
  <c r="F27" i="14"/>
  <c r="L25" i="14"/>
  <c r="L24" i="14"/>
  <c r="I23" i="14"/>
  <c r="I36" i="14" s="1"/>
  <c r="H23" i="14"/>
  <c r="G23" i="14"/>
  <c r="F23" i="14"/>
  <c r="G22" i="14"/>
  <c r="F22" i="14"/>
  <c r="F36" i="14" s="1"/>
  <c r="L18" i="14"/>
  <c r="K18" i="14"/>
  <c r="J18" i="14"/>
  <c r="I18" i="14"/>
  <c r="H18" i="14"/>
  <c r="G18" i="14"/>
  <c r="F18" i="14"/>
  <c r="G97" i="1"/>
  <c r="G468" i="1"/>
  <c r="G472" i="1"/>
  <c r="G30" i="1"/>
  <c r="F54" i="14" l="1"/>
  <c r="L45" i="14"/>
  <c r="L23" i="14"/>
  <c r="H36" i="14"/>
  <c r="I54" i="14"/>
  <c r="I64" i="14" s="1"/>
  <c r="I78" i="14" s="1"/>
  <c r="G54" i="14"/>
  <c r="K64" i="14"/>
  <c r="K78" i="14" s="1"/>
  <c r="G36" i="14"/>
  <c r="L27" i="14"/>
  <c r="L51" i="14"/>
  <c r="H64" i="14"/>
  <c r="H78" i="14" s="1"/>
  <c r="L32" i="14"/>
  <c r="L41" i="14"/>
  <c r="L50" i="14"/>
  <c r="L63" i="14"/>
  <c r="L77" i="14"/>
  <c r="F64" i="14"/>
  <c r="F78" i="14" s="1"/>
  <c r="J64" i="14"/>
  <c r="J78" i="14" s="1"/>
  <c r="L22" i="14"/>
  <c r="L36" i="14" s="1"/>
  <c r="L40" i="14"/>
  <c r="J316" i="1"/>
  <c r="I316" i="1"/>
  <c r="H316" i="1"/>
  <c r="G316" i="1"/>
  <c r="F316" i="1"/>
  <c r="I300" i="1"/>
  <c r="I319" i="1"/>
  <c r="L54" i="14" l="1"/>
  <c r="L64" i="14" s="1"/>
  <c r="L78" i="14" s="1"/>
  <c r="G64" i="14"/>
  <c r="G78" i="14" s="1"/>
  <c r="H358" i="1"/>
  <c r="F468" i="1" l="1"/>
  <c r="F13" i="13" l="1"/>
  <c r="G611" i="1" l="1"/>
  <c r="F611" i="1"/>
  <c r="G541" i="1" l="1"/>
  <c r="F541" i="1"/>
  <c r="F281" i="1"/>
  <c r="F319" i="1"/>
  <c r="F300" i="1"/>
  <c r="F276" i="1"/>
  <c r="I276" i="1"/>
  <c r="H281" i="1"/>
  <c r="G281" i="1"/>
  <c r="H276" i="1"/>
  <c r="G276" i="1"/>
  <c r="H319" i="1"/>
  <c r="G319" i="1"/>
  <c r="I314" i="1"/>
  <c r="H321" i="1"/>
  <c r="H314" i="1"/>
  <c r="H300" i="1"/>
  <c r="G300" i="1"/>
  <c r="I295" i="1"/>
  <c r="H295" i="1"/>
  <c r="G295" i="1"/>
  <c r="F295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C85" i="2" s="1"/>
  <c r="F162" i="1"/>
  <c r="G147" i="1"/>
  <c r="D85" i="2" s="1"/>
  <c r="G162" i="1"/>
  <c r="H147" i="1"/>
  <c r="H162" i="1"/>
  <c r="H169" i="1" s="1"/>
  <c r="I147" i="1"/>
  <c r="F85" i="2" s="1"/>
  <c r="I162" i="1"/>
  <c r="L250" i="1"/>
  <c r="L332" i="1"/>
  <c r="L254" i="1"/>
  <c r="L268" i="1"/>
  <c r="L269" i="1"/>
  <c r="L349" i="1"/>
  <c r="L350" i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D115" i="2"/>
  <c r="F115" i="2"/>
  <c r="G115" i="2"/>
  <c r="E119" i="2"/>
  <c r="E120" i="2"/>
  <c r="E121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H643" i="1" s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J640" i="1" s="1"/>
  <c r="H446" i="1"/>
  <c r="G641" i="1" s="1"/>
  <c r="F452" i="1"/>
  <c r="G452" i="1"/>
  <c r="G461" i="1" s="1"/>
  <c r="H640" i="1" s="1"/>
  <c r="H452" i="1"/>
  <c r="H461" i="1" s="1"/>
  <c r="H641" i="1" s="1"/>
  <c r="J641" i="1" s="1"/>
  <c r="F460" i="1"/>
  <c r="F461" i="1" s="1"/>
  <c r="H639" i="1" s="1"/>
  <c r="G460" i="1"/>
  <c r="H460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45" i="1"/>
  <c r="H645" i="1"/>
  <c r="G652" i="1"/>
  <c r="H652" i="1"/>
  <c r="G653" i="1"/>
  <c r="H653" i="1"/>
  <c r="G654" i="1"/>
  <c r="H654" i="1"/>
  <c r="H655" i="1"/>
  <c r="J655" i="1" s="1"/>
  <c r="E78" i="2"/>
  <c r="I169" i="1"/>
  <c r="G22" i="2"/>
  <c r="H140" i="1"/>
  <c r="H662" i="1" l="1"/>
  <c r="C125" i="2"/>
  <c r="C18" i="10"/>
  <c r="C112" i="2"/>
  <c r="A31" i="12"/>
  <c r="A40" i="12"/>
  <c r="G156" i="2"/>
  <c r="I369" i="1"/>
  <c r="H634" i="1" s="1"/>
  <c r="J634" i="1" s="1"/>
  <c r="J643" i="1"/>
  <c r="E123" i="2"/>
  <c r="K500" i="1"/>
  <c r="I476" i="1"/>
  <c r="H625" i="1" s="1"/>
  <c r="F78" i="2"/>
  <c r="D50" i="2"/>
  <c r="C26" i="10"/>
  <c r="L393" i="1"/>
  <c r="C138" i="2" s="1"/>
  <c r="C29" i="10"/>
  <c r="E122" i="2"/>
  <c r="D17" i="13"/>
  <c r="C17" i="13" s="1"/>
  <c r="G112" i="1"/>
  <c r="L401" i="1"/>
  <c r="C139" i="2" s="1"/>
  <c r="C32" i="10"/>
  <c r="C13" i="10"/>
  <c r="D19" i="13"/>
  <c r="C19" i="13" s="1"/>
  <c r="E16" i="13"/>
  <c r="C16" i="13" s="1"/>
  <c r="I571" i="1"/>
  <c r="E81" i="2"/>
  <c r="H571" i="1"/>
  <c r="L565" i="1"/>
  <c r="J545" i="1"/>
  <c r="I552" i="1"/>
  <c r="J645" i="1"/>
  <c r="F571" i="1"/>
  <c r="K571" i="1"/>
  <c r="L560" i="1"/>
  <c r="I460" i="1"/>
  <c r="I452" i="1"/>
  <c r="I446" i="1"/>
  <c r="G642" i="1" s="1"/>
  <c r="L433" i="1"/>
  <c r="L427" i="1"/>
  <c r="L419" i="1"/>
  <c r="G662" i="1"/>
  <c r="D62" i="2"/>
  <c r="D63" i="2" s="1"/>
  <c r="H661" i="1"/>
  <c r="D91" i="2"/>
  <c r="F112" i="1"/>
  <c r="J112" i="1"/>
  <c r="J193" i="1" s="1"/>
  <c r="G646" i="1" s="1"/>
  <c r="C35" i="10"/>
  <c r="G476" i="1"/>
  <c r="H623" i="1" s="1"/>
  <c r="J623" i="1" s="1"/>
  <c r="F476" i="1"/>
  <c r="H622" i="1" s="1"/>
  <c r="J622" i="1" s="1"/>
  <c r="H476" i="1"/>
  <c r="H624" i="1" s="1"/>
  <c r="J624" i="1" s="1"/>
  <c r="J651" i="1"/>
  <c r="K598" i="1"/>
  <c r="G647" i="1" s="1"/>
  <c r="L570" i="1"/>
  <c r="J552" i="1"/>
  <c r="L544" i="1"/>
  <c r="G545" i="1"/>
  <c r="H552" i="1"/>
  <c r="L534" i="1"/>
  <c r="K551" i="1"/>
  <c r="K545" i="1"/>
  <c r="F552" i="1"/>
  <c r="K550" i="1"/>
  <c r="I545" i="1"/>
  <c r="H545" i="1"/>
  <c r="L524" i="1"/>
  <c r="K549" i="1"/>
  <c r="H408" i="1"/>
  <c r="H644" i="1" s="1"/>
  <c r="J644" i="1" s="1"/>
  <c r="I461" i="1"/>
  <c r="H642" i="1" s="1"/>
  <c r="J639" i="1"/>
  <c r="E114" i="2"/>
  <c r="C114" i="2"/>
  <c r="K338" i="1"/>
  <c r="L328" i="1"/>
  <c r="E124" i="2"/>
  <c r="H338" i="1"/>
  <c r="H352" i="1" s="1"/>
  <c r="G338" i="1"/>
  <c r="G352" i="1" s="1"/>
  <c r="F338" i="1"/>
  <c r="F352" i="1" s="1"/>
  <c r="L309" i="1"/>
  <c r="E118" i="2"/>
  <c r="H25" i="13"/>
  <c r="C25" i="13" s="1"/>
  <c r="C132" i="2"/>
  <c r="L270" i="1"/>
  <c r="H33" i="13"/>
  <c r="C122" i="2"/>
  <c r="G161" i="2"/>
  <c r="C70" i="2"/>
  <c r="C91" i="2"/>
  <c r="G81" i="2"/>
  <c r="D18" i="2"/>
  <c r="G164" i="2"/>
  <c r="G157" i="2"/>
  <c r="D81" i="2"/>
  <c r="E103" i="2"/>
  <c r="F18" i="2"/>
  <c r="C118" i="2"/>
  <c r="A13" i="12"/>
  <c r="C121" i="2"/>
  <c r="G257" i="1"/>
  <c r="G271" i="1" s="1"/>
  <c r="L247" i="1"/>
  <c r="C12" i="10"/>
  <c r="C109" i="2"/>
  <c r="K257" i="1"/>
  <c r="K271" i="1" s="1"/>
  <c r="J257" i="1"/>
  <c r="J271" i="1" s="1"/>
  <c r="C10" i="10"/>
  <c r="I257" i="1"/>
  <c r="I271" i="1" s="1"/>
  <c r="C20" i="10"/>
  <c r="C16" i="10"/>
  <c r="C21" i="10"/>
  <c r="F257" i="1"/>
  <c r="F271" i="1" s="1"/>
  <c r="C110" i="2"/>
  <c r="L229" i="1"/>
  <c r="C17" i="10"/>
  <c r="C119" i="2"/>
  <c r="D7" i="13"/>
  <c r="C7" i="13" s="1"/>
  <c r="H257" i="1"/>
  <c r="H271" i="1" s="1"/>
  <c r="D14" i="13"/>
  <c r="C14" i="13" s="1"/>
  <c r="C123" i="2"/>
  <c r="D5" i="13"/>
  <c r="C5" i="13" s="1"/>
  <c r="C11" i="10"/>
  <c r="L211" i="1"/>
  <c r="F169" i="1"/>
  <c r="C78" i="2"/>
  <c r="J617" i="1"/>
  <c r="C18" i="2"/>
  <c r="E62" i="2"/>
  <c r="E63" i="2" s="1"/>
  <c r="E31" i="2"/>
  <c r="H52" i="1"/>
  <c r="H619" i="1" s="1"/>
  <c r="J619" i="1" s="1"/>
  <c r="L362" i="1"/>
  <c r="C27" i="10" s="1"/>
  <c r="G661" i="1"/>
  <c r="D31" i="2"/>
  <c r="F22" i="13"/>
  <c r="C22" i="13" s="1"/>
  <c r="G552" i="1"/>
  <c r="H112" i="1"/>
  <c r="H193" i="1" s="1"/>
  <c r="G629" i="1" s="1"/>
  <c r="J629" i="1" s="1"/>
  <c r="D29" i="13"/>
  <c r="C29" i="13" s="1"/>
  <c r="E8" i="13"/>
  <c r="C8" i="13" s="1"/>
  <c r="D12" i="13"/>
  <c r="C12" i="13" s="1"/>
  <c r="L290" i="1"/>
  <c r="L539" i="1"/>
  <c r="K503" i="1"/>
  <c r="L382" i="1"/>
  <c r="G636" i="1" s="1"/>
  <c r="J636" i="1" s="1"/>
  <c r="K352" i="1"/>
  <c r="E109" i="2"/>
  <c r="E115" i="2" s="1"/>
  <c r="C62" i="2"/>
  <c r="F661" i="1"/>
  <c r="C19" i="10"/>
  <c r="C15" i="10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E144" i="2" s="1"/>
  <c r="D127" i="2"/>
  <c r="D128" i="2" s="1"/>
  <c r="D145" i="2" s="1"/>
  <c r="C124" i="2"/>
  <c r="C120" i="2"/>
  <c r="C111" i="2"/>
  <c r="C56" i="2"/>
  <c r="F662" i="1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G169" i="1"/>
  <c r="C39" i="10" s="1"/>
  <c r="G140" i="1"/>
  <c r="F140" i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J652" i="1"/>
  <c r="J642" i="1"/>
  <c r="G571" i="1"/>
  <c r="I434" i="1"/>
  <c r="G434" i="1"/>
  <c r="I663" i="1"/>
  <c r="I662" i="1" l="1"/>
  <c r="F104" i="2"/>
  <c r="E128" i="2"/>
  <c r="D51" i="2"/>
  <c r="C141" i="2"/>
  <c r="C144" i="2" s="1"/>
  <c r="L408" i="1"/>
  <c r="G637" i="1" s="1"/>
  <c r="J637" i="1" s="1"/>
  <c r="F51" i="2"/>
  <c r="I661" i="1"/>
  <c r="G635" i="1"/>
  <c r="J635" i="1" s="1"/>
  <c r="F193" i="1"/>
  <c r="G627" i="1" s="1"/>
  <c r="J627" i="1" s="1"/>
  <c r="C81" i="2"/>
  <c r="E51" i="2"/>
  <c r="J647" i="1"/>
  <c r="K552" i="1"/>
  <c r="H646" i="1"/>
  <c r="J646" i="1" s="1"/>
  <c r="H660" i="1"/>
  <c r="H664" i="1" s="1"/>
  <c r="H672" i="1" s="1"/>
  <c r="C6" i="10" s="1"/>
  <c r="G660" i="1"/>
  <c r="G664" i="1" s="1"/>
  <c r="G667" i="1" s="1"/>
  <c r="L338" i="1"/>
  <c r="L352" i="1" s="1"/>
  <c r="G633" i="1" s="1"/>
  <c r="J633" i="1" s="1"/>
  <c r="D31" i="13"/>
  <c r="C31" i="13" s="1"/>
  <c r="D104" i="2"/>
  <c r="E145" i="2"/>
  <c r="H648" i="1"/>
  <c r="J648" i="1" s="1"/>
  <c r="C115" i="2"/>
  <c r="L257" i="1"/>
  <c r="L271" i="1" s="1"/>
  <c r="G632" i="1" s="1"/>
  <c r="J632" i="1" s="1"/>
  <c r="C128" i="2"/>
  <c r="F660" i="1"/>
  <c r="F664" i="1" s="1"/>
  <c r="C36" i="10"/>
  <c r="E104" i="2"/>
  <c r="L545" i="1"/>
  <c r="C28" i="10"/>
  <c r="D19" i="10" s="1"/>
  <c r="E33" i="13"/>
  <c r="D35" i="13" s="1"/>
  <c r="F33" i="13"/>
  <c r="G104" i="2"/>
  <c r="C63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04" i="2" l="1"/>
  <c r="H667" i="1"/>
  <c r="D33" i="13"/>
  <c r="D36" i="13" s="1"/>
  <c r="G672" i="1"/>
  <c r="C5" i="10" s="1"/>
  <c r="C145" i="2"/>
  <c r="I660" i="1"/>
  <c r="I664" i="1" s="1"/>
  <c r="I672" i="1" s="1"/>
  <c r="C7" i="10" s="1"/>
  <c r="D11" i="10"/>
  <c r="D13" i="10"/>
  <c r="D27" i="10"/>
  <c r="D17" i="10"/>
  <c r="D12" i="10"/>
  <c r="D26" i="10"/>
  <c r="C30" i="10"/>
  <c r="D22" i="10"/>
  <c r="D21" i="10"/>
  <c r="D23" i="10"/>
  <c r="D18" i="10"/>
  <c r="D10" i="10"/>
  <c r="D20" i="10"/>
  <c r="D15" i="10"/>
  <c r="D25" i="10"/>
  <c r="D24" i="10"/>
  <c r="D16" i="10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<sst xmlns="http://schemas.openxmlformats.org/spreadsheetml/2006/main" count="4372" uniqueCount="916">
  <si>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</si>
  <si>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</si>
  <si>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</si>
  <si>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</si>
  <si>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</si>
  <si>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</si>
  <si>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</si>
  <si>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</si>
  <si>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</si>
  <si>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</si>
  <si>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</si>
  <si>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</si>
  <si>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</si>
  <si>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</si>
  <si>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</si>
  <si>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</si>
  <si>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</si>
  <si>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</si>
  <si>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</si>
  <si>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</si>
  <si>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</si>
  <si>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</si>
  <si>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</si>
  <si>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</si>
  <si>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</si>
  <si>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</si>
  <si>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</si>
  <si>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</si>
  <si>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</si>
  <si>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</si>
  <si>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</si>
  <si>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</si>
  <si>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</si>
  <si>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</si>
  <si>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</si>
  <si>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</si>
  <si>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</si>
  <si>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</si>
  <si>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</si>
  <si>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</si>
  <si>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</si>
  <si>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</si>
  <si>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</si>
  <si>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</si>
  <si>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</si>
  <si>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</si>
  <si>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</si>
  <si>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</si>
  <si>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</si>
  <si>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</si>
  <si>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</si>
  <si>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</si>
  <si>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</si>
  <si>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</si>
  <si>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</si>
  <si>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</si>
  <si>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</si>
  <si>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</si>
  <si>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</si>
  <si>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</si>
  <si>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</si>
  <si>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</si>
  <si>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</si>
  <si>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</si>
  <si>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</si>
  <si>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</si>
  <si>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</si>
  <si>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</si>
  <si>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</si>
  <si>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</si>
  <si>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</si>
  <si>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</si>
  <si>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</si>
  <si>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</si>
  <si>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</si>
  <si>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</si>
  <si>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</si>
  <si>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</si>
  <si>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</si>
  <si>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</si>
  <si>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</si>
  <si>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</si>
  <si>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</si>
  <si>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</si>
  <si>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</si>
  <si>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</si>
  <si>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</si>
  <si>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</si>
  <si>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</si>
  <si>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</si>
  <si>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</si>
  <si>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</si>
  <si>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</si>
  <si>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</si>
  <si>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</si>
  <si>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</si>
  <si>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</si>
  <si>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</si>
  <si>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</si>
  <si>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</si>
  <si>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</si>
  <si>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</si>
  <si>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</si>
  <si>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</si>
  <si>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</si>
  <si>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</si>
  <si>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</si>
  <si>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</si>
  <si>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</si>
  <si>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</si>
  <si>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</si>
  <si>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</si>
  <si>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</si>
  <si>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</si>
  <si>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</si>
  <si>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</si>
  <si>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</si>
  <si>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</si>
  <si>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</si>
  <si>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</si>
  <si>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</si>
  <si>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</si>
  <si>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</si>
  <si>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</si>
  <si>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</si>
  <si>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</si>
  <si>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</si>
  <si>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</si>
  <si>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</si>
  <si>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</si>
  <si>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</si>
  <si>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</si>
  <si>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</si>
  <si>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</si>
  <si>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</si>
  <si>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</si>
  <si>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</si>
  <si>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</si>
  <si>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</si>
  <si>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</si>
  <si>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</si>
  <si>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</si>
  <si>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</si>
  <si>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</si>
  <si>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</si>
  <si>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</si>
  <si>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</si>
  <si>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</si>
  <si>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</si>
  <si>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</si>
  <si>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</si>
  <si>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</si>
  <si>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</si>
  <si>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</si>
  <si>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</si>
  <si>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</si>
  <si>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</si>
  <si>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</si>
  <si>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</si>
  <si>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</si>
  <si>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</si>
  <si>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</si>
  <si>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</si>
  <si>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</si>
  <si>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</si>
  <si>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</si>
  <si>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</si>
  <si>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</si>
  <si>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</si>
  <si>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</si>
  <si>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</si>
  <si>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</si>
  <si>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</si>
  <si>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</si>
  <si>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</si>
  <si>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</si>
  <si>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</si>
  <si>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</si>
  <si>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</si>
  <si>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</si>
  <si>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</si>
  <si>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</si>
  <si>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</si>
  <si>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</si>
  <si>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</si>
  <si>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</si>
  <si>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</si>
  <si>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</si>
  <si>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</si>
  <si>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</si>
  <si>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</si>
  <si>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</si>
  <si>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</si>
  <si>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</si>
  <si>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</si>
  <si>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</si>
  <si>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</si>
  <si>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</si>
  <si>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</si>
  <si>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</si>
  <si>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</si>
  <si>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</si>
  <si>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</si>
  <si>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</si>
  <si>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</si>
  <si>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</si>
  <si>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</si>
  <si>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</si>
  <si>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</si>
  <si>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</si>
  <si>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</si>
  <si>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</si>
  <si>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</si>
  <si>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</si>
  <si>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</si>
  <si>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</si>
  <si>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</si>
  <si>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</si>
  <si>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</si>
  <si>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</si>
  <si>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</si>
  <si>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</si>
  <si>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</si>
  <si>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</si>
  <si>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</si>
  <si>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</si>
  <si>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</si>
  <si>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</si>
  <si>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</si>
  <si>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</si>
  <si>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</si>
  <si>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</si>
  <si>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</si>
  <si>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</si>
  <si>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</si>
  <si>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</si>
  <si>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</si>
  <si>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</si>
  <si>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</si>
  <si>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</si>
  <si>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</si>
  <si>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</si>
  <si>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</si>
  <si>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</si>
  <si>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</si>
  <si>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</si>
  <si>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</si>
  <si>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</si>
  <si>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</si>
  <si>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</si>
  <si>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</si>
  <si>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</si>
  <si>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</si>
  <si>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</si>
  <si>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</si>
  <si>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</si>
  <si>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</si>
  <si>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</si>
  <si>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</si>
  <si>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</si>
  <si>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</si>
  <si>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</si>
  <si>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</si>
  <si>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</si>
  <si>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</si>
  <si>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</si>
  <si>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</si>
  <si>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</si>
  <si>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</si>
  <si>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</si>
  <si>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</si>
  <si>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</si>
  <si>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</si>
  <si>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</si>
  <si>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</si>
  <si>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</si>
  <si>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</si>
  <si>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</si>
  <si>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</si>
  <si>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</si>
  <si>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</si>
  <si>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</si>
  <si>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</si>
  <si>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</si>
  <si>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</si>
  <si>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</si>
  <si>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</si>
  <si>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</si>
  <si>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</si>
  <si>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</si>
  <si>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</si>
  <si>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</si>
  <si>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</si>
  <si>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</si>
  <si>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</si>
  <si>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</si>
  <si>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</si>
  <si>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</si>
  <si>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</si>
  <si>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</si>
  <si>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</si>
  <si>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</si>
  <si>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</si>
  <si>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</si>
  <si>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</si>
  <si>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</si>
  <si>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</si>
  <si>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</si>
  <si>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</si>
  <si>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</si>
  <si>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</si>
  <si>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</si>
  <si>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</si>
  <si>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</si>
  <si>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</si>
  <si>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</si>
  <si>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</si>
  <si>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</si>
  <si>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</si>
  <si>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</si>
  <si>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</si>
  <si>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</si>
  <si>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</si>
  <si>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</si>
  <si>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</si>
  <si>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</si>
  <si>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</si>
  <si>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</si>
  <si>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</si>
  <si>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</si>
  <si>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</si>
  <si>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</si>
  <si>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</si>
  <si>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</si>
  <si>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</si>
  <si>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</si>
  <si>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</si>
  <si>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</si>
  <si>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</si>
  <si>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</si>
  <si>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</si>
  <si>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</si>
  <si>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</si>
  <si>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</si>
  <si>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</si>
  <si>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</si>
  <si>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</si>
  <si>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</si>
  <si>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</si>
  <si>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</si>
  <si>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</si>
  <si>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</si>
  <si>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</si>
  <si>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</si>
  <si>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</si>
  <si>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</si>
  <si>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</si>
  <si>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</si>
  <si>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</si>
  <si>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</si>
  <si>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</si>
  <si>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</si>
  <si>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</si>
  <si>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</si>
  <si>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</si>
  <si>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</si>
  <si>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</si>
  <si>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</si>
  <si>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</si>
  <si>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</si>
  <si>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</si>
  <si>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</si>
  <si>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</si>
  <si>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</si>
  <si>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</si>
  <si>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</si>
  <si>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</si>
  <si>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</si>
  <si>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</si>
  <si>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</si>
  <si>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</si>
  <si>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</si>
  <si>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</si>
  <si>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</si>
  <si>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</si>
  <si>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</si>
  <si>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</si>
  <si>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</si>
  <si>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</si>
  <si>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</si>
  <si>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</si>
  <si>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</si>
  <si>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</si>
  <si>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</si>
  <si>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</si>
  <si>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</si>
  <si>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</si>
  <si>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</si>
  <si>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</si>
  <si>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</si>
  <si>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</si>
  <si>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</si>
  <si>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</si>
  <si>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</si>
  <si>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</si>
  <si>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</si>
  <si>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</si>
  <si>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</si>
  <si>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</si>
  <si>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</si>
  <si>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</si>
  <si>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</si>
  <si>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</si>
  <si>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</si>
  <si>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</si>
  <si>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</si>
  <si>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</si>
  <si>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</si>
  <si>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</si>
  <si>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</si>
  <si>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</si>
  <si>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</si>
  <si>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</si>
  <si>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</si>
  <si>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</si>
  <si>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</si>
  <si>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</si>
  <si>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</si>
  <si>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</si>
  <si>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</si>
  <si>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</si>
  <si>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</si>
  <si>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</si>
  <si>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</si>
  <si>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</si>
  <si>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</si>
  <si>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</si>
  <si>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</si>
  <si>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</si>
  <si>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</si>
  <si>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</si>
  <si>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</si>
  <si>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</si>
  <si>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</si>
  <si>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</si>
  <si>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</si>
  <si>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</si>
  <si>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</si>
  <si>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</si>
  <si>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</si>
  <si>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</si>
  <si>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</si>
  <si>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</si>
  <si>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</si>
  <si>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</si>
  <si>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</si>
  <si>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</si>
  <si>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</si>
  <si>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</si>
  <si>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</si>
  <si>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</si>
  <si>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</si>
  <si>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</si>
  <si>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</si>
  <si>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</si>
  <si>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</si>
  <si>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</si>
  <si>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</si>
  <si>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</si>
  <si>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</si>
  <si>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</si>
  <si>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</si>
  <si>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</si>
  <si>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</si>
  <si>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</si>
  <si>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</si>
  <si>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</si>
  <si>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</si>
  <si>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</si>
  <si>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</si>
  <si>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</si>
  <si>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</si>
  <si>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</si>
  <si>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</si>
  <si>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</si>
  <si>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</si>
  <si>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</si>
  <si>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</si>
  <si>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</si>
  <si>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</si>
  <si>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</si>
  <si>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</si>
  <si>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</si>
  <si>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</si>
  <si>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</si>
  <si>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</si>
  <si>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</si>
  <si>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</si>
  <si>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</si>
  <si>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</si>
  <si>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</si>
  <si>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</si>
  <si>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</si>
  <si>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</si>
  <si>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</si>
  <si>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</si>
  <si>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</si>
  <si>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</si>
  <si>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</si>
  <si>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</si>
  <si>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</si>
  <si>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</si>
  <si>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</si>
  <si>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</si>
  <si>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</si>
  <si>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</si>
  <si>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</si>
  <si>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</si>
  <si>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</si>
  <si>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</si>
  <si>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</si>
  <si>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</si>
  <si>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</si>
  <si>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</si>
  <si>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</si>
  <si>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</si>
  <si>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</si>
  <si>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</si>
  <si>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</si>
  <si>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</si>
  <si>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</si>
  <si>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</si>
  <si>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</si>
  <si>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</si>
  <si>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</si>
  <si>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</si>
  <si>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</si>
  <si>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</si>
  <si>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</si>
  <si>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</si>
  <si>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</si>
  <si>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</si>
  <si>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</si>
  <si>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</si>
  <si>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</si>
  <si>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</si>
  <si>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</si>
  <si>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</si>
  <si>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</si>
  <si>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</si>
  <si>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</si>
  <si>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</si>
  <si>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</si>
  <si>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</si>
  <si>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</si>
  <si>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</si>
  <si>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</si>
  <si>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</si>
  <si>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</si>
  <si>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</si>
  <si>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</si>
  <si>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</si>
  <si>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</si>
  <si>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</si>
  <si>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</si>
  <si>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</si>
  <si>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</si>
  <si>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</si>
  <si>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</si>
  <si>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</si>
  <si>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</si>
  <si>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</si>
  <si>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</si>
  <si>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</si>
  <si>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</si>
  <si>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</si>
  <si>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</si>
  <si>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</si>
  <si>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</si>
  <si>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</si>
  <si>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</si>
  <si>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</si>
  <si>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</si>
  <si>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</si>
  <si>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</si>
  <si>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</si>
  <si>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</si>
  <si>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</si>
  <si>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</si>
  <si>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</si>
  <si>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</si>
  <si>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</si>
  <si>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</si>
  <si>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</si>
  <si>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</si>
  <si>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</si>
  <si>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</si>
  <si>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</si>
  <si>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</si>
  <si>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</si>
  <si>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</si>
  <si>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</si>
  <si>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</si>
  <si>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</si>
  <si>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</si>
  <si>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</si>
  <si>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</si>
  <si>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</si>
  <si>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</si>
  <si>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</si>
  <si>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</si>
  <si>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</si>
  <si>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</si>
  <si>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</si>
  <si>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</si>
  <si>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</si>
  <si>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</si>
  <si>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</si>
  <si>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</si>
  <si>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</si>
  <si>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</si>
  <si>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</si>
  <si>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</si>
  <si>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</si>
  <si>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</si>
  <si>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</si>
  <si>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</si>
  <si>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</si>
  <si>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</si>
  <si>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</si>
  <si>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</si>
  <si>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</si>
  <si>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</si>
  <si>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</si>
  <si>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</si>
  <si>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</si>
  <si>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</si>
  <si>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</si>
  <si>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</si>
  <si>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</si>
  <si>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</si>
  <si>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</si>
  <si>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</si>
  <si>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</si>
  <si>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</si>
  <si>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</si>
  <si>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</si>
  <si>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</si>
  <si>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</si>
  <si>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</si>
  <si>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</si>
  <si>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</si>
  <si>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</si>
  <si>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</si>
  <si>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</si>
  <si>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</si>
  <si>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</si>
  <si>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</si>
  <si>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</si>
  <si>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</si>
  <si>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</si>
  <si>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</si>
  <si>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</si>
  <si>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</si>
  <si>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</si>
  <si>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</si>
  <si>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</si>
  <si>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</si>
  <si>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</si>
  <si>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</si>
  <si>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</si>
  <si>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</si>
  <si>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</si>
  <si>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</si>
  <si>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</si>
  <si>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</si>
  <si>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</si>
  <si>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</si>
  <si>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</si>
  <si>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</si>
  <si>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</si>
  <si>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</si>
  <si>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</si>
  <si>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</si>
  <si>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</si>
  <si>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</si>
  <si>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</si>
  <si>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</si>
  <si>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</si>
  <si>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</si>
  <si>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</si>
  <si>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</si>
  <si>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</si>
  <si>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</si>
  <si>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</si>
  <si>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</si>
  <si>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</si>
  <si>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</si>
  <si>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</si>
  <si>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</si>
  <si>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</si>
  <si>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</si>
  <si>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</si>
  <si>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</si>
  <si>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</si>
  <si>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</si>
  <si>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</si>
  <si>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</si>
  <si>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</si>
  <si>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</si>
  <si>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</si>
  <si>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</si>
  <si>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</si>
  <si>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</si>
  <si>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</si>
  <si>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</si>
  <si>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</si>
  <si>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</si>
  <si>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</si>
  <si>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</si>
  <si>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</si>
  <si>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</si>
  <si>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</si>
  <si>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</si>
  <si>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</si>
  <si>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</si>
  <si>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</si>
  <si>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</si>
  <si>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</si>
  <si>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</si>
  <si>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</si>
  <si>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</si>
  <si>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</si>
  <si>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</si>
  <si>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</si>
  <si>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</si>
  <si>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</si>
  <si>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</si>
  <si>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</si>
  <si>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</si>
  <si>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</si>
  <si>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</si>
  <si>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</si>
  <si>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</si>
  <si>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</si>
  <si>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</si>
  <si>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</si>
  <si>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</si>
  <si>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</si>
  <si>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</si>
  <si>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</si>
  <si>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</si>
  <si>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</si>
  <si>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</si>
  <si>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</si>
  <si>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</si>
  <si>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</si>
  <si>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</si>
  <si>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</si>
  <si>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</si>
  <si>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</si>
  <si>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</si>
  <si>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</si>
  <si>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</si>
  <si>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</si>
  <si>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</si>
  <si>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</si>
  <si>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</si>
  <si>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</si>
  <si>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</si>
  <si>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</si>
  <si>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</si>
  <si>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</si>
  <si>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</si>
  <si>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</si>
  <si>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</si>
  <si>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</si>
  <si>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</si>
  <si>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</si>
  <si>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</si>
  <si>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</si>
  <si>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</si>
  <si>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</si>
  <si>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</si>
  <si>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</si>
  <si>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</si>
  <si>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</si>
  <si>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</si>
  <si>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</si>
  <si>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</si>
  <si>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</si>
  <si>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</si>
  <si>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</si>
  <si>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</si>
  <si>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</si>
  <si>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</si>
  <si>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</si>
  <si>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</si>
  <si>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</si>
  <si>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</si>
  <si>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</si>
  <si>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</si>
  <si>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</si>
  <si>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</si>
  <si>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</si>
  <si>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</si>
  <si>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</si>
  <si>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</si>
  <si>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</si>
  <si>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</si>
  <si>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</si>
  <si>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</si>
  <si>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</si>
  <si>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</si>
  <si>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</si>
  <si>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</si>
  <si>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</si>
  <si>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</si>
  <si>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</si>
  <si>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</si>
  <si>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</si>
  <si>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</si>
  <si>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</si>
  <si>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</si>
  <si>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</si>
  <si>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</si>
  <si>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</si>
  <si>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</si>
  <si>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</si>
  <si>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</si>
  <si>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</si>
  <si>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</si>
  <si>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</si>
  <si>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</si>
  <si>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</si>
  <si>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</si>
  <si>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</si>
  <si>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</si>
  <si>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</si>
  <si>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</si>
  <si>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</si>
  <si>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</si>
  <si>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</si>
  <si>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</si>
  <si>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</si>
  <si>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</si>
  <si>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</si>
  <si>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</si>
  <si>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</si>
  <si>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</si>
  <si>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</si>
  <si>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</si>
  <si>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</si>
  <si>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</si>
  <si>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</si>
  <si>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</si>
  <si>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</si>
  <si>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</si>
  <si>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</si>
  <si>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</si>
  <si>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</si>
  <si>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</si>
  <si>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</si>
  <si>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</si>
  <si>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</si>
  <si>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</si>
  <si>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</si>
  <si>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</si>
  <si>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</si>
  <si>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</si>
  <si>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</si>
  <si>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</si>
  <si>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</si>
  <si>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</si>
  <si>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</si>
  <si>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</si>
  <si>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</si>
  <si>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</si>
  <si>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</si>
  <si>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</si>
  <si>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</si>
  <si>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</si>
  <si>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</si>
  <si>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</si>
  <si>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</si>
  <si>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</si>
  <si>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</si>
  <si>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</si>
  <si>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</si>
  <si>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</si>
  <si>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</si>
  <si>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</si>
  <si>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</si>
  <si>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</si>
  <si>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</si>
  <si>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</si>
  <si>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</si>
  <si>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</si>
  <si>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</si>
  <si>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</si>
  <si>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</si>
  <si>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</si>
  <si>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</si>
  <si>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</si>
  <si>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</si>
  <si>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</si>
  <si>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</si>
  <si>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</si>
  <si>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</si>
  <si>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</si>
  <si>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</si>
  <si>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</si>
  <si>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08/15/2007</t>
  </si>
  <si>
    <t>08/5/2027</t>
  </si>
  <si>
    <t>This is an unofficially Audited Report - Our FY18 Audit will start on November 5th, 2018.</t>
  </si>
  <si>
    <t>Newport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</si>
</sst>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915</v>
      </c>
      <c r="B2" s="21">
        <v>401</v>
      </c>
      <c r="C2" s="21">
        <v>401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932794.29+605878.41-768094.3</f>
        <v>770578.40000000014</v>
      </c>
      <c r="G9" s="18">
        <v>200</v>
      </c>
      <c r="H9" s="18"/>
      <c r="I9" s="18"/>
      <c r="J9" s="67">
        <f>SUM(I439)</f>
        <v>404826.01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118144.09+152086.89+39.01-18094.02</f>
        <v>252175.97</v>
      </c>
      <c r="G12" s="18">
        <f>-118183.1</f>
        <v>-118183.1</v>
      </c>
      <c r="H12" s="18">
        <f>-152086.89+18094.02</f>
        <v>-133992.87000000002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539885.12-60006.24</f>
        <v>479878.88</v>
      </c>
      <c r="G14" s="18">
        <f>99047.87-1525.22+29678.33</f>
        <v>127200.98</v>
      </c>
      <c r="H14" s="18">
        <f>357936.62-14249+18094.02+101442.67+29806.33</f>
        <v>493030.64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14807.21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1502633.25</v>
      </c>
      <c r="G19" s="41">
        <f>SUM(G9:G18)</f>
        <v>24025.089999999989</v>
      </c>
      <c r="H19" s="41">
        <f>SUM(H9:H18)</f>
        <v>359037.77</v>
      </c>
      <c r="I19" s="41">
        <f>SUM(I9:I18)</f>
        <v>0</v>
      </c>
      <c r="J19" s="41">
        <f>SUM(J9:J18)</f>
        <v>404826.01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v>18992.22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1460467.16-692372.86-75721.44</f>
        <v>692372.85999999987</v>
      </c>
      <c r="G24" s="18">
        <v>2549.6799999999998</v>
      </c>
      <c r="H24" s="18">
        <v>193255.09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-692829.13+697823.88</f>
        <v>4994.75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105972.7</f>
        <v>105972.7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f>14449.3</f>
        <v>14449.3</v>
      </c>
      <c r="H30" s="18">
        <f>155290.46-8500</f>
        <v>146790.46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803340.30999999982</v>
      </c>
      <c r="G32" s="41">
        <f>SUM(G22:G31)</f>
        <v>16998.98</v>
      </c>
      <c r="H32" s="41">
        <f>SUM(H22:H31)</f>
        <v>359037.77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14807.21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f>-9281.1-5526.11</f>
        <v>-14807.21</v>
      </c>
      <c r="H48" s="18"/>
      <c r="I48" s="18"/>
      <c r="J48" s="13">
        <f>SUM(I459)</f>
        <v>404826.01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>
        <v>7026.11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699292.94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699292.94</v>
      </c>
      <c r="G51" s="41">
        <f>SUM(G35:G50)</f>
        <v>7026.11</v>
      </c>
      <c r="H51" s="41">
        <f>SUM(H35:H50)</f>
        <v>0</v>
      </c>
      <c r="I51" s="41">
        <f>SUM(I35:I50)</f>
        <v>0</v>
      </c>
      <c r="J51" s="41">
        <f>SUM(J35:J50)</f>
        <v>404826.01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1502633.2499999998</v>
      </c>
      <c r="G52" s="41">
        <f>G51+G32</f>
        <v>24025.09</v>
      </c>
      <c r="H52" s="41">
        <f>H51+H32</f>
        <v>359037.77</v>
      </c>
      <c r="I52" s="41">
        <f>I51+I32</f>
        <v>0</v>
      </c>
      <c r="J52" s="41">
        <f>J51+J32</f>
        <v>404826.01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5744128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5744128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8635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1589686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13068.51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1611389.51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18.399999999999999</v>
      </c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40799.949999999997</v>
      </c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40818.35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21092.95</v>
      </c>
      <c r="G96" s="18"/>
      <c r="H96" s="18"/>
      <c r="I96" s="18"/>
      <c r="J96" s="18">
        <v>1147.3900000000001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113718.45+4000.89</f>
        <v>117719.34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1250</v>
      </c>
      <c r="G102" s="18"/>
      <c r="H102" s="18">
        <v>80396.460000000006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150614.97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5694.42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12090.81</v>
      </c>
      <c r="G110" s="18"/>
      <c r="H110" s="18">
        <v>2018.18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190743.15000000002</v>
      </c>
      <c r="G111" s="41">
        <f>SUM(G96:G110)</f>
        <v>117719.34</v>
      </c>
      <c r="H111" s="41">
        <f>SUM(H96:H110)</f>
        <v>82414.64</v>
      </c>
      <c r="I111" s="41">
        <f>SUM(I96:I110)</f>
        <v>0</v>
      </c>
      <c r="J111" s="41">
        <f>SUM(J96:J110)</f>
        <v>1147.3900000000001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7587079.0099999998</v>
      </c>
      <c r="G112" s="41">
        <f>G60+G111</f>
        <v>117719.34</v>
      </c>
      <c r="H112" s="41">
        <f>H60+H79+H94+H111</f>
        <v>82414.64</v>
      </c>
      <c r="I112" s="41">
        <f>I60+I111</f>
        <v>0</v>
      </c>
      <c r="J112" s="41">
        <f>J60+J111</f>
        <v>1147.3900000000001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6596332.7400000002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962443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5574.16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7564349.9000000004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339729.59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240781.08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36813.589999999997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1116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5377.08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89600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708040.26</v>
      </c>
      <c r="G136" s="41">
        <f>SUM(G123:G135)</f>
        <v>5377.08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8272390.1600000001</v>
      </c>
      <c r="G140" s="41">
        <f>G121+SUM(G136:G137)</f>
        <v>5377.08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68259.7</v>
      </c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68259.7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624384.68999999994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533434.6-14249+18094.02-415887.17-18094.02</f>
        <v>103298.43000000001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60436.2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3000</v>
      </c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247600.27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415887.17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272866.46000000002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f>49456.22+18094.02-18094.02</f>
        <v>49456.22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275866.46000000002</v>
      </c>
      <c r="G162" s="41">
        <f>SUM(G150:G161)</f>
        <v>247600.27</v>
      </c>
      <c r="H162" s="41">
        <f>SUM(H150:H161)</f>
        <v>1253462.71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344126.16000000003</v>
      </c>
      <c r="G169" s="41">
        <f>G147+G162+SUM(G163:G168)</f>
        <v>247600.27</v>
      </c>
      <c r="H169" s="41">
        <f>H147+H162+SUM(H163:H168)</f>
        <v>1253462.71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20000</v>
      </c>
      <c r="H179" s="18">
        <v>18094.02</v>
      </c>
      <c r="I179" s="18"/>
      <c r="J179" s="18">
        <v>100000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20000</v>
      </c>
      <c r="H183" s="41">
        <f>SUM(H179:H182)</f>
        <v>18094.02</v>
      </c>
      <c r="I183" s="41">
        <f>SUM(I179:I182)</f>
        <v>0</v>
      </c>
      <c r="J183" s="41">
        <f>SUM(J179:J182)</f>
        <v>100000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20000</v>
      </c>
      <c r="H192" s="41">
        <f>+H183+SUM(H188:H191)</f>
        <v>18094.02</v>
      </c>
      <c r="I192" s="41">
        <f>I177+I183+SUM(I188:I191)</f>
        <v>0</v>
      </c>
      <c r="J192" s="41">
        <f>J183</f>
        <v>100000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16203595.33</v>
      </c>
      <c r="G193" s="47">
        <f>G112+G140+G169+G192</f>
        <v>390696.69</v>
      </c>
      <c r="H193" s="47">
        <f>H112+H140+H169+H192</f>
        <v>1353971.3699999999</v>
      </c>
      <c r="I193" s="47">
        <f>I112+I140+I169+I192</f>
        <v>0</v>
      </c>
      <c r="J193" s="47">
        <f>J112+J140+J192</f>
        <v>101147.39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1225659.2+46200.83+7.88</f>
        <v>1271867.9099999999</v>
      </c>
      <c r="G197" s="18">
        <f>653091.13+25894.39+2.02</f>
        <v>678987.54</v>
      </c>
      <c r="H197" s="18"/>
      <c r="I197" s="18">
        <v>50839.1</v>
      </c>
      <c r="J197" s="18">
        <v>1274.92</v>
      </c>
      <c r="K197" s="18">
        <v>503.12</v>
      </c>
      <c r="L197" s="19">
        <f>SUM(F197:K197)</f>
        <v>2003472.59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845569.25+11197.42+389.33</f>
        <v>857156</v>
      </c>
      <c r="G198" s="18">
        <f>300181.5+4693.61+76.22</f>
        <v>304951.32999999996</v>
      </c>
      <c r="H198" s="18">
        <f>228665.97+34563.61</f>
        <v>263229.58</v>
      </c>
      <c r="I198" s="18">
        <f>1281.38+213.19</f>
        <v>1494.5700000000002</v>
      </c>
      <c r="J198" s="18">
        <v>1677</v>
      </c>
      <c r="K198" s="18">
        <v>38.97</v>
      </c>
      <c r="L198" s="19">
        <f>SUM(F198:K198)</f>
        <v>1428547.4500000002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9728.1299999999992</v>
      </c>
      <c r="G200" s="18">
        <v>2449.7600000000002</v>
      </c>
      <c r="H200" s="18"/>
      <c r="I200" s="18"/>
      <c r="J200" s="18"/>
      <c r="K200" s="18"/>
      <c r="L200" s="19">
        <f>SUM(F200:K200)</f>
        <v>12177.89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401858.88+46951.61+1080+1217.99</f>
        <v>451108.48</v>
      </c>
      <c r="G202" s="18">
        <f>193887.52+3847.7+181.69</f>
        <v>197916.91</v>
      </c>
      <c r="H202" s="18">
        <f>48097.63+31314.49</f>
        <v>79412.12</v>
      </c>
      <c r="I202" s="18">
        <f>1601.29+542.38</f>
        <v>2143.67</v>
      </c>
      <c r="J202" s="18"/>
      <c r="K202" s="18"/>
      <c r="L202" s="19">
        <f t="shared" ref="L202:L208" si="0">SUM(F202:K202)</f>
        <v>730581.18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35602+71512.37+511</f>
        <v>107625.37</v>
      </c>
      <c r="G203" s="18">
        <f>18480.36+38801.88+100.03</f>
        <v>57382.27</v>
      </c>
      <c r="H203" s="18">
        <f>36167.87+13170.49</f>
        <v>49338.36</v>
      </c>
      <c r="I203" s="18">
        <f>9541.71+11215.41</f>
        <v>20757.12</v>
      </c>
      <c r="J203" s="18">
        <f>22111.85+768.6</f>
        <v>22880.449999999997</v>
      </c>
      <c r="K203" s="18">
        <v>3582.5</v>
      </c>
      <c r="L203" s="19">
        <f t="shared" si="0"/>
        <v>261566.07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94604.11+511+229.69+35.94</f>
        <v>95380.74</v>
      </c>
      <c r="G204" s="18">
        <f>35431.48-39.45</f>
        <v>35392.030000000006</v>
      </c>
      <c r="H204" s="18">
        <v>35123.47</v>
      </c>
      <c r="I204" s="18">
        <v>184.87</v>
      </c>
      <c r="J204" s="18">
        <v>289.79000000000002</v>
      </c>
      <c r="K204" s="18">
        <v>2857.61</v>
      </c>
      <c r="L204" s="19">
        <f t="shared" si="0"/>
        <v>169228.51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198398.57+1460</f>
        <v>199858.57</v>
      </c>
      <c r="G205" s="18">
        <f>71423.32-1050+285.8</f>
        <v>70659.12000000001</v>
      </c>
      <c r="H205" s="18">
        <v>4517.47</v>
      </c>
      <c r="I205" s="18"/>
      <c r="J205" s="18">
        <v>757.98</v>
      </c>
      <c r="K205" s="18">
        <v>1915.25</v>
      </c>
      <c r="L205" s="19">
        <f t="shared" si="0"/>
        <v>277708.38999999996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46526.51</v>
      </c>
      <c r="G206" s="18">
        <v>26783.439999999999</v>
      </c>
      <c r="H206" s="18">
        <v>96838.13</v>
      </c>
      <c r="I206" s="18">
        <v>5440.75</v>
      </c>
      <c r="J206" s="18">
        <v>342.98</v>
      </c>
      <c r="K206" s="18">
        <v>2679.32</v>
      </c>
      <c r="L206" s="19">
        <f t="shared" si="0"/>
        <v>178611.13000000003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71516.33+19988.12+3575.47+2662.5+350</f>
        <v>98092.42</v>
      </c>
      <c r="G207" s="18">
        <f>50242.93+12412.74+506.75+76.52</f>
        <v>63238.939999999995</v>
      </c>
      <c r="H207" s="18">
        <f>181949.46+26071.86</f>
        <v>208021.32</v>
      </c>
      <c r="I207" s="18">
        <f>96556.61+12303.2</f>
        <v>108859.81</v>
      </c>
      <c r="J207" s="18">
        <f>608.38+3378.94+309.53</f>
        <v>4296.8500000000004</v>
      </c>
      <c r="K207" s="18">
        <v>101.5</v>
      </c>
      <c r="L207" s="19">
        <f t="shared" si="0"/>
        <v>482610.83999999997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4566.8+125519.73+91.97+18.82+116.02+193.17+732.37</f>
        <v>131238.88</v>
      </c>
      <c r="G208" s="18">
        <f>551.46+25777.15+113.16</f>
        <v>26441.77</v>
      </c>
      <c r="H208" s="18">
        <f>56593.5+38966.49</f>
        <v>95559.989999999991</v>
      </c>
      <c r="I208" s="18">
        <v>17976.53</v>
      </c>
      <c r="J208" s="18">
        <v>34493.129999999997</v>
      </c>
      <c r="K208" s="18">
        <v>338.05</v>
      </c>
      <c r="L208" s="19">
        <f t="shared" si="0"/>
        <v>306048.34999999998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3268583.01</v>
      </c>
      <c r="G211" s="41">
        <f t="shared" si="1"/>
        <v>1464203.11</v>
      </c>
      <c r="H211" s="41">
        <f t="shared" si="1"/>
        <v>832040.44</v>
      </c>
      <c r="I211" s="41">
        <f t="shared" si="1"/>
        <v>207696.41999999998</v>
      </c>
      <c r="J211" s="41">
        <f t="shared" si="1"/>
        <v>66013.099999999991</v>
      </c>
      <c r="K211" s="41">
        <f t="shared" si="1"/>
        <v>12016.32</v>
      </c>
      <c r="L211" s="41">
        <f t="shared" si="1"/>
        <v>5850552.3999999994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704456.74+26400.48+557.3+4.5</f>
        <v>731419.02</v>
      </c>
      <c r="G215" s="18">
        <f>363734.77+14796.8+142.42+1.15</f>
        <v>378675.14</v>
      </c>
      <c r="H215" s="18"/>
      <c r="I215" s="18">
        <v>24492.71</v>
      </c>
      <c r="J215" s="18">
        <v>1648.37</v>
      </c>
      <c r="K215" s="18">
        <v>240</v>
      </c>
      <c r="L215" s="19">
        <f>SUM(F215:K215)</f>
        <v>1136475.2400000002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289704.66+6398.52</f>
        <v>296103.18</v>
      </c>
      <c r="G216" s="18">
        <f>81747.93+2682.06</f>
        <v>84429.989999999991</v>
      </c>
      <c r="H216" s="18">
        <f>233026.03+19750.63</f>
        <v>252776.66</v>
      </c>
      <c r="I216" s="18">
        <f>595.06+121.82</f>
        <v>716.87999999999988</v>
      </c>
      <c r="J216" s="18">
        <v>764.99</v>
      </c>
      <c r="K216" s="18">
        <v>22.27</v>
      </c>
      <c r="L216" s="19">
        <f>SUM(F216:K216)</f>
        <v>634813.97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21639.64</v>
      </c>
      <c r="G218" s="18">
        <v>3492.31</v>
      </c>
      <c r="H218" s="18"/>
      <c r="I218" s="18"/>
      <c r="J218" s="18"/>
      <c r="K218" s="18"/>
      <c r="L218" s="19">
        <f>SUM(F218:K218)</f>
        <v>25131.95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71373.78+26829.49</f>
        <v>98203.27</v>
      </c>
      <c r="G220" s="18">
        <f>50264.46+2198.69</f>
        <v>52463.15</v>
      </c>
      <c r="H220" s="18">
        <f>10000+17894</f>
        <v>27894</v>
      </c>
      <c r="I220" s="18">
        <v>309.93</v>
      </c>
      <c r="J220" s="18"/>
      <c r="K220" s="18"/>
      <c r="L220" s="19">
        <f t="shared" ref="L220:L226" si="2">SUM(F220:K220)</f>
        <v>178870.35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40864.21+292</f>
        <v>41156.21</v>
      </c>
      <c r="G221" s="18">
        <f>22172.5+57.16</f>
        <v>22229.66</v>
      </c>
      <c r="H221" s="18">
        <f>5872.27+7525.99</f>
        <v>13398.26</v>
      </c>
      <c r="I221" s="18">
        <v>6408.81</v>
      </c>
      <c r="J221" s="18">
        <f>29700+439.2</f>
        <v>30139.200000000001</v>
      </c>
      <c r="K221" s="18">
        <v>330</v>
      </c>
      <c r="L221" s="19">
        <f t="shared" si="2"/>
        <v>113662.13999999998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54059.49+292+131.25+20.54</f>
        <v>54503.28</v>
      </c>
      <c r="G222" s="18">
        <f>20246.56-22.54</f>
        <v>20224.02</v>
      </c>
      <c r="H222" s="18">
        <v>20070.55</v>
      </c>
      <c r="I222" s="18">
        <v>105.64</v>
      </c>
      <c r="J222" s="18">
        <v>165.59</v>
      </c>
      <c r="K222" s="18">
        <v>1632.92</v>
      </c>
      <c r="L222" s="19">
        <f t="shared" si="2"/>
        <v>96702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31499.5</v>
      </c>
      <c r="G223" s="18">
        <f>18059.74-600</f>
        <v>17459.740000000002</v>
      </c>
      <c r="H223" s="18"/>
      <c r="I223" s="18"/>
      <c r="J223" s="18"/>
      <c r="K223" s="18"/>
      <c r="L223" s="19">
        <f t="shared" si="2"/>
        <v>48959.240000000005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26586.58</v>
      </c>
      <c r="G224" s="18">
        <v>15304.82</v>
      </c>
      <c r="H224" s="18">
        <v>55336.07</v>
      </c>
      <c r="I224" s="18">
        <f>3109+1531.04</f>
        <v>4640.04</v>
      </c>
      <c r="J224" s="18">
        <v>195.99</v>
      </c>
      <c r="K224" s="18">
        <v>0</v>
      </c>
      <c r="L224" s="19">
        <f>SUM(F224:J224)</f>
        <v>102063.5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11421.78+2043.13+200</f>
        <v>13664.91</v>
      </c>
      <c r="G225" s="18">
        <f>7092.99+43.73</f>
        <v>7136.7199999999993</v>
      </c>
      <c r="H225" s="18">
        <f>3414.97+14898.21</f>
        <v>18313.18</v>
      </c>
      <c r="I225" s="18">
        <v>7030.4</v>
      </c>
      <c r="J225" s="18">
        <f>169.99+1930.82+176.88</f>
        <v>2277.69</v>
      </c>
      <c r="K225" s="18">
        <v>58</v>
      </c>
      <c r="L225" s="19">
        <f t="shared" si="2"/>
        <v>48480.9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f>2374.27+71725.56+52.56+10.76+66.3+110.38+418.5</f>
        <v>74758.33</v>
      </c>
      <c r="G226" s="18">
        <f>389.94+14729.8+64.66</f>
        <v>15184.4</v>
      </c>
      <c r="H226" s="18">
        <f>11861.04+22266.55</f>
        <v>34127.589999999997</v>
      </c>
      <c r="I226" s="18">
        <v>10272.299999999999</v>
      </c>
      <c r="J226" s="18">
        <v>19710.36</v>
      </c>
      <c r="K226" s="18">
        <v>193.17</v>
      </c>
      <c r="L226" s="19">
        <f t="shared" si="2"/>
        <v>154246.15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1389533.92</v>
      </c>
      <c r="G229" s="41">
        <f>SUM(G215:G228)</f>
        <v>616599.94999999995</v>
      </c>
      <c r="H229" s="41">
        <f>SUM(H215:H228)</f>
        <v>421916.31000000006</v>
      </c>
      <c r="I229" s="41">
        <f>SUM(I215:I228)</f>
        <v>53976.710000000006</v>
      </c>
      <c r="J229" s="41">
        <f>SUM(J215:J228)</f>
        <v>54902.19</v>
      </c>
      <c r="K229" s="41">
        <f t="shared" si="3"/>
        <v>2476.36</v>
      </c>
      <c r="L229" s="41">
        <f t="shared" si="3"/>
        <v>2539405.4400000004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841511.21+59401.07+1578.54+200+10.13</f>
        <v>902700.95</v>
      </c>
      <c r="G233" s="18">
        <f>466957.75+33292.79+454.5+2.59</f>
        <v>500707.63</v>
      </c>
      <c r="H233" s="18">
        <v>3872.03</v>
      </c>
      <c r="I233" s="18">
        <v>49487.040000000001</v>
      </c>
      <c r="J233" s="18">
        <v>8887.66</v>
      </c>
      <c r="K233" s="18">
        <v>1836.72</v>
      </c>
      <c r="L233" s="19">
        <f>SUM(F233:K233)</f>
        <v>1467492.03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344914.74+14396.68</f>
        <v>359311.42</v>
      </c>
      <c r="G234" s="18">
        <f>152294.89+6034.64</f>
        <v>158329.53000000003</v>
      </c>
      <c r="H234" s="18">
        <f>766985.91+44438.92</f>
        <v>811424.83000000007</v>
      </c>
      <c r="I234" s="18">
        <f>1252.21+274.1</f>
        <v>1526.31</v>
      </c>
      <c r="J234" s="18">
        <v>538</v>
      </c>
      <c r="K234" s="18">
        <v>50.11</v>
      </c>
      <c r="L234" s="19">
        <f>SUM(F234:K234)</f>
        <v>1331180.2000000002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381979.64</v>
      </c>
      <c r="G235" s="18">
        <v>211598.84</v>
      </c>
      <c r="H235" s="18">
        <v>21748.2</v>
      </c>
      <c r="I235" s="18">
        <v>26431.439999999999</v>
      </c>
      <c r="J235" s="18">
        <v>3298.16</v>
      </c>
      <c r="K235" s="18">
        <v>5611</v>
      </c>
      <c r="L235" s="19">
        <f>SUM(F235:K235)</f>
        <v>650667.27999999991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135606.88</v>
      </c>
      <c r="G236" s="18">
        <v>40115.68</v>
      </c>
      <c r="H236" s="18">
        <v>48703.25</v>
      </c>
      <c r="I236" s="18">
        <v>9488.5300000000007</v>
      </c>
      <c r="J236" s="18">
        <v>10076.09</v>
      </c>
      <c r="K236" s="18">
        <v>10482.68</v>
      </c>
      <c r="L236" s="19">
        <f>SUM(F236:K236)</f>
        <v>254473.11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277192.87+60366.35+2534.25+1277.5</f>
        <v>341370.97</v>
      </c>
      <c r="G238" s="18">
        <f>213327.81+4947.05+883.88</f>
        <v>219158.74</v>
      </c>
      <c r="H238" s="18">
        <f>4717.23+40261.49</f>
        <v>44978.720000000001</v>
      </c>
      <c r="I238" s="18">
        <f>8934.32+697.35</f>
        <v>9631.67</v>
      </c>
      <c r="J238" s="18"/>
      <c r="K238" s="18">
        <v>1579</v>
      </c>
      <c r="L238" s="19">
        <f t="shared" ref="L238:L244" si="4">SUM(F238:K238)</f>
        <v>616719.1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89125.27+91944.48+501.2+2697.07+657</f>
        <v>184925.02000000002</v>
      </c>
      <c r="G239" s="18">
        <f>46082.81+49888.13+787.35+128.61</f>
        <v>96886.900000000009</v>
      </c>
      <c r="H239" s="18">
        <f>60569.66+16933.48</f>
        <v>77503.14</v>
      </c>
      <c r="I239" s="18">
        <f>34077.93+14419.81</f>
        <v>48497.74</v>
      </c>
      <c r="J239" s="18">
        <f>56962.57+988.2</f>
        <v>57950.77</v>
      </c>
      <c r="K239" s="18">
        <v>2963.5</v>
      </c>
      <c r="L239" s="19">
        <f t="shared" si="4"/>
        <v>468727.07000000007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121633.85+657+295.31+46.21</f>
        <v>122632.37000000001</v>
      </c>
      <c r="G240" s="18">
        <f>45554.76-50.72</f>
        <v>45504.04</v>
      </c>
      <c r="H240" s="18">
        <v>45158.75</v>
      </c>
      <c r="I240" s="18">
        <v>237.7</v>
      </c>
      <c r="J240" s="18">
        <v>372.59</v>
      </c>
      <c r="K240" s="18">
        <v>3674.06</v>
      </c>
      <c r="L240" s="19">
        <f t="shared" si="4"/>
        <v>217579.51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263024.03+1460</f>
        <v>264484.03000000003</v>
      </c>
      <c r="G241" s="18">
        <f>139432.08-1350+285.8</f>
        <v>138367.87999999998</v>
      </c>
      <c r="H241" s="18">
        <v>12158.93</v>
      </c>
      <c r="I241" s="18">
        <f>6711.89</f>
        <v>6711.89</v>
      </c>
      <c r="J241" s="18">
        <v>476.88</v>
      </c>
      <c r="K241" s="18">
        <v>7256.38</v>
      </c>
      <c r="L241" s="19">
        <f t="shared" si="4"/>
        <v>429455.99000000005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59819.8</v>
      </c>
      <c r="G242" s="18">
        <v>34435.85</v>
      </c>
      <c r="H242" s="18">
        <v>124506.17</v>
      </c>
      <c r="I242" s="18">
        <v>6995.26</v>
      </c>
      <c r="J242" s="18">
        <v>440.96</v>
      </c>
      <c r="K242" s="18">
        <v>3444.84</v>
      </c>
      <c r="L242" s="19">
        <f t="shared" si="4"/>
        <v>229642.88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233916.77+25699.01+4597.03+6548.8+1000+450</f>
        <v>272211.61</v>
      </c>
      <c r="G243" s="18">
        <f>119780.78+15959.23+1793.04+98.39</f>
        <v>137631.44000000003</v>
      </c>
      <c r="H243" s="18">
        <f>196721.58+33520.96</f>
        <v>230242.53999999998</v>
      </c>
      <c r="I243" s="18">
        <f>171998.7+15818.41</f>
        <v>187817.11000000002</v>
      </c>
      <c r="J243" s="18">
        <f>2292.77+4344.35+397.96</f>
        <v>7035.0800000000008</v>
      </c>
      <c r="K243" s="18">
        <v>130.5</v>
      </c>
      <c r="L243" s="19">
        <f t="shared" si="4"/>
        <v>835068.28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13745.93+161382.51+118.25+24.2+149.17+248.36+941.62</f>
        <v>176610.04</v>
      </c>
      <c r="G244" s="18">
        <f>1827.84+33142.05+145.49</f>
        <v>35115.379999999997</v>
      </c>
      <c r="H244" s="18">
        <f>130503.4+50099.77</f>
        <v>180603.16999999998</v>
      </c>
      <c r="I244" s="18">
        <v>23112.68</v>
      </c>
      <c r="J244" s="18">
        <v>44348.3</v>
      </c>
      <c r="K244" s="18">
        <v>434.63</v>
      </c>
      <c r="L244" s="19">
        <f t="shared" si="4"/>
        <v>460224.19999999995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3201652.7299999991</v>
      </c>
      <c r="G247" s="41">
        <f t="shared" si="5"/>
        <v>1617851.9099999997</v>
      </c>
      <c r="H247" s="41">
        <f t="shared" si="5"/>
        <v>1600899.7299999997</v>
      </c>
      <c r="I247" s="41">
        <f t="shared" si="5"/>
        <v>369937.37000000005</v>
      </c>
      <c r="J247" s="41">
        <f t="shared" si="5"/>
        <v>133424.49</v>
      </c>
      <c r="K247" s="41">
        <f t="shared" si="5"/>
        <v>37463.420000000006</v>
      </c>
      <c r="L247" s="41">
        <f t="shared" si="5"/>
        <v>6961229.6500000004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7859769.6599999983</v>
      </c>
      <c r="G257" s="41">
        <f t="shared" si="8"/>
        <v>3698654.9699999997</v>
      </c>
      <c r="H257" s="41">
        <f t="shared" si="8"/>
        <v>2854856.4799999995</v>
      </c>
      <c r="I257" s="41">
        <f t="shared" si="8"/>
        <v>631610.5</v>
      </c>
      <c r="J257" s="41">
        <f t="shared" si="8"/>
        <v>254339.77999999997</v>
      </c>
      <c r="K257" s="41">
        <f t="shared" si="8"/>
        <v>51956.100000000006</v>
      </c>
      <c r="L257" s="41">
        <f t="shared" si="8"/>
        <v>15351187.49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510000</v>
      </c>
      <c r="L260" s="19">
        <f>SUM(F260:K260)</f>
        <v>510000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255650</v>
      </c>
      <c r="L261" s="19">
        <f>SUM(F261:K261)</f>
        <v>255650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20000</v>
      </c>
      <c r="L263" s="19">
        <f>SUM(F263:K263)</f>
        <v>20000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18094.02</v>
      </c>
      <c r="L264" s="19">
        <f t="shared" ref="L264:L270" si="9">SUM(F264:K264)</f>
        <v>18094.02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100000</v>
      </c>
      <c r="L266" s="19">
        <f t="shared" si="9"/>
        <v>100000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903744.02</v>
      </c>
      <c r="L270" s="41">
        <f t="shared" si="9"/>
        <v>903744.02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7859769.6599999983</v>
      </c>
      <c r="G271" s="42">
        <f t="shared" si="11"/>
        <v>3698654.9699999997</v>
      </c>
      <c r="H271" s="42">
        <f t="shared" si="11"/>
        <v>2854856.4799999995</v>
      </c>
      <c r="I271" s="42">
        <f t="shared" si="11"/>
        <v>631610.5</v>
      </c>
      <c r="J271" s="42">
        <f t="shared" si="11"/>
        <v>254339.77999999997</v>
      </c>
      <c r="K271" s="42">
        <f t="shared" si="11"/>
        <v>955700.12</v>
      </c>
      <c r="L271" s="42">
        <f t="shared" si="11"/>
        <v>16254931.51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1000+119509.96</f>
        <v>120509.96</v>
      </c>
      <c r="G276" s="18">
        <f>250.89+53209.6</f>
        <v>53460.49</v>
      </c>
      <c r="H276" s="18">
        <f>2015.39+825</f>
        <v>2840.3900000000003</v>
      </c>
      <c r="I276" s="18">
        <f>4101.5+9943.71+6629.31</f>
        <v>20674.52</v>
      </c>
      <c r="J276" s="18"/>
      <c r="K276" s="18">
        <v>160</v>
      </c>
      <c r="L276" s="19">
        <f>SUM(F276:K276)</f>
        <v>197645.36000000002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36357.440000000002</v>
      </c>
      <c r="G277" s="18">
        <v>24000</v>
      </c>
      <c r="H277" s="18">
        <v>131269.37</v>
      </c>
      <c r="I277" s="18">
        <v>4221.8500000000004</v>
      </c>
      <c r="J277" s="18"/>
      <c r="K277" s="18"/>
      <c r="L277" s="19">
        <f>SUM(F277:K277)</f>
        <v>195848.66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6860.21+21363.29-0.01</f>
        <v>28223.49</v>
      </c>
      <c r="G281" s="18">
        <f>4380.13+14104.86</f>
        <v>18484.990000000002</v>
      </c>
      <c r="H281" s="18">
        <f>1632.57+4329.11</f>
        <v>5961.6799999999994</v>
      </c>
      <c r="I281" s="18">
        <v>7188.24</v>
      </c>
      <c r="J281" s="18">
        <v>17212.5</v>
      </c>
      <c r="K281" s="18">
        <v>3473.07</v>
      </c>
      <c r="L281" s="19">
        <f t="shared" ref="L281:L287" si="12">SUM(F281:K281)</f>
        <v>80543.97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3006.92</v>
      </c>
      <c r="L283" s="19">
        <f t="shared" si="12"/>
        <v>3006.92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1099.72</v>
      </c>
      <c r="I286" s="18"/>
      <c r="J286" s="18"/>
      <c r="K286" s="18"/>
      <c r="L286" s="19">
        <f t="shared" si="12"/>
        <v>1099.72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1837.5</v>
      </c>
      <c r="I287" s="18"/>
      <c r="J287" s="18"/>
      <c r="K287" s="18"/>
      <c r="L287" s="19">
        <f t="shared" si="12"/>
        <v>1837.5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185090.89</v>
      </c>
      <c r="G290" s="42">
        <f t="shared" si="13"/>
        <v>95945.48</v>
      </c>
      <c r="H290" s="42">
        <f t="shared" si="13"/>
        <v>143008.66</v>
      </c>
      <c r="I290" s="42">
        <f t="shared" si="13"/>
        <v>32084.61</v>
      </c>
      <c r="J290" s="42">
        <f t="shared" si="13"/>
        <v>17212.5</v>
      </c>
      <c r="K290" s="42">
        <f t="shared" si="13"/>
        <v>6639.99</v>
      </c>
      <c r="L290" s="41">
        <f t="shared" si="13"/>
        <v>479982.12999999995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119509.96</f>
        <v>119509.96</v>
      </c>
      <c r="G295" s="18">
        <f>53209.6</f>
        <v>53209.599999999999</v>
      </c>
      <c r="H295" s="18">
        <f>825</f>
        <v>825</v>
      </c>
      <c r="I295" s="18">
        <f>785.68+1501.95+3391.74+9943.71</f>
        <v>15623.079999999998</v>
      </c>
      <c r="J295" s="18"/>
      <c r="K295" s="18">
        <v>160</v>
      </c>
      <c r="L295" s="19">
        <f>SUM(F295:K295)</f>
        <v>189327.63999999998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36357.440000000002</v>
      </c>
      <c r="G296" s="18">
        <v>24000</v>
      </c>
      <c r="H296" s="18">
        <v>131269.37</v>
      </c>
      <c r="I296" s="18">
        <v>4221.8500000000004</v>
      </c>
      <c r="J296" s="18"/>
      <c r="K296" s="18"/>
      <c r="L296" s="19">
        <f>SUM(F296:K296)</f>
        <v>195848.66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f>16500+6860.21+10930.06-0.01</f>
        <v>34290.259999999995</v>
      </c>
      <c r="G300" s="18">
        <f>1759.49+4380.13+7216.44</f>
        <v>13356.06</v>
      </c>
      <c r="H300" s="18">
        <f>5055.26+1632.57+2214.89</f>
        <v>8902.7199999999993</v>
      </c>
      <c r="I300" s="18">
        <f>1413.36+3677.7-2550</f>
        <v>2541.0599999999995</v>
      </c>
      <c r="J300" s="18">
        <v>17212.5</v>
      </c>
      <c r="K300" s="18">
        <v>3473.07</v>
      </c>
      <c r="L300" s="19">
        <f t="shared" ref="L300:L306" si="14">SUM(F300:K300)</f>
        <v>79775.67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>
        <v>3006.92</v>
      </c>
      <c r="L301" s="19">
        <f t="shared" si="14"/>
        <v>3006.92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1837.5</v>
      </c>
      <c r="I306" s="18"/>
      <c r="J306" s="18"/>
      <c r="K306" s="18"/>
      <c r="L306" s="19">
        <f t="shared" si="14"/>
        <v>1837.5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190157.66000000003</v>
      </c>
      <c r="G309" s="42">
        <f t="shared" si="15"/>
        <v>90565.66</v>
      </c>
      <c r="H309" s="42">
        <f t="shared" si="15"/>
        <v>142834.59</v>
      </c>
      <c r="I309" s="42">
        <f t="shared" si="15"/>
        <v>22385.989999999998</v>
      </c>
      <c r="J309" s="42">
        <f t="shared" si="15"/>
        <v>17212.5</v>
      </c>
      <c r="K309" s="42">
        <f t="shared" si="15"/>
        <v>6639.99</v>
      </c>
      <c r="L309" s="41">
        <f t="shared" si="15"/>
        <v>469796.38999999996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>
        <f>29117.41+36880.92</f>
        <v>65998.33</v>
      </c>
      <c r="I314" s="18">
        <f>1175.83+5395.95+1501.95</f>
        <v>8073.73</v>
      </c>
      <c r="J314" s="18">
        <v>414</v>
      </c>
      <c r="K314" s="18"/>
      <c r="L314" s="19">
        <f>SUM(F314:K314)</f>
        <v>74486.06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f>720+288</f>
        <v>1008</v>
      </c>
      <c r="G316" s="18">
        <f>180.93+72.9</f>
        <v>253.83</v>
      </c>
      <c r="H316" s="18">
        <f>20911.57+3829.89</f>
        <v>24741.46</v>
      </c>
      <c r="I316" s="18">
        <f>16758.13+7042.7</f>
        <v>23800.83</v>
      </c>
      <c r="J316" s="18">
        <f>17085.82+22.51+3627.98</f>
        <v>20736.309999999998</v>
      </c>
      <c r="K316" s="18">
        <v>1304.01</v>
      </c>
      <c r="L316" s="19">
        <f>SUM(F316:K316)</f>
        <v>71844.439999999988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>
        <v>32083.9</v>
      </c>
      <c r="K317" s="18"/>
      <c r="L317" s="19">
        <f>SUM(F317:K317)</f>
        <v>32083.9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17388.72+16500-0.01</f>
        <v>33888.71</v>
      </c>
      <c r="G319" s="18">
        <f>11480.7+1759.49</f>
        <v>13240.19</v>
      </c>
      <c r="H319" s="18">
        <f>3523.7+5055.26</f>
        <v>8578.9599999999991</v>
      </c>
      <c r="I319" s="18">
        <f>5850.89+1413.36-5950</f>
        <v>1314.25</v>
      </c>
      <c r="J319" s="18"/>
      <c r="K319" s="18">
        <v>11250</v>
      </c>
      <c r="L319" s="19">
        <f t="shared" ref="L319:L325" si="16">SUM(F319:K319)</f>
        <v>68272.11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v>8194.0400000000009</v>
      </c>
      <c r="I320" s="18"/>
      <c r="J320" s="18"/>
      <c r="K320" s="18"/>
      <c r="L320" s="19">
        <f t="shared" si="16"/>
        <v>8194.0400000000009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>
        <f>47443.43+13653.79</f>
        <v>61097.22</v>
      </c>
      <c r="I321" s="18"/>
      <c r="J321" s="18"/>
      <c r="K321" s="18"/>
      <c r="L321" s="19">
        <f t="shared" si="16"/>
        <v>61097.22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>
        <v>40296</v>
      </c>
      <c r="K325" s="18"/>
      <c r="L325" s="19">
        <f t="shared" si="16"/>
        <v>40296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34896.71</v>
      </c>
      <c r="G328" s="42">
        <f t="shared" si="17"/>
        <v>13494.02</v>
      </c>
      <c r="H328" s="42">
        <f t="shared" si="17"/>
        <v>168610.01</v>
      </c>
      <c r="I328" s="42">
        <f t="shared" si="17"/>
        <v>33188.81</v>
      </c>
      <c r="J328" s="42">
        <f t="shared" si="17"/>
        <v>93530.209999999992</v>
      </c>
      <c r="K328" s="42">
        <f t="shared" si="17"/>
        <v>12554.01</v>
      </c>
      <c r="L328" s="41">
        <f t="shared" si="17"/>
        <v>356273.77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4"/>
      <c r="G332" s="18"/>
      <c r="H332" s="18"/>
      <c r="I332" s="18"/>
      <c r="J332" s="18"/>
      <c r="K332" s="18"/>
      <c r="L332" s="19">
        <f>SUM(G332:K332)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ref="L333:L337" si="18">SUM(F333:K333)</f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40000</v>
      </c>
      <c r="G335" s="18">
        <v>7919.08</v>
      </c>
      <c r="H335" s="18"/>
      <c r="I335" s="18"/>
      <c r="J335" s="18"/>
      <c r="K335" s="18"/>
      <c r="L335" s="19">
        <f t="shared" si="18"/>
        <v>47919.08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40000</v>
      </c>
      <c r="G337" s="41">
        <f t="shared" si="19"/>
        <v>7919.08</v>
      </c>
      <c r="H337" s="41">
        <f t="shared" si="19"/>
        <v>0</v>
      </c>
      <c r="I337" s="41">
        <f t="shared" si="19"/>
        <v>0</v>
      </c>
      <c r="J337" s="41">
        <f>SUM(J332:J336)</f>
        <v>0</v>
      </c>
      <c r="K337" s="41">
        <f t="shared" si="19"/>
        <v>0</v>
      </c>
      <c r="L337" s="41">
        <f t="shared" si="18"/>
        <v>47919.08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450145.26000000007</v>
      </c>
      <c r="G338" s="41">
        <f t="shared" si="20"/>
        <v>207924.24</v>
      </c>
      <c r="H338" s="41">
        <f t="shared" si="20"/>
        <v>454453.26</v>
      </c>
      <c r="I338" s="41">
        <f t="shared" si="20"/>
        <v>87659.41</v>
      </c>
      <c r="J338" s="41">
        <f t="shared" si="20"/>
        <v>127955.20999999999</v>
      </c>
      <c r="K338" s="41">
        <f t="shared" si="20"/>
        <v>25833.989999999998</v>
      </c>
      <c r="L338" s="41">
        <f t="shared" si="20"/>
        <v>1353971.37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450145.26000000007</v>
      </c>
      <c r="G352" s="41">
        <f>G338</f>
        <v>207924.24</v>
      </c>
      <c r="H352" s="41">
        <f>H338</f>
        <v>454453.26</v>
      </c>
      <c r="I352" s="41">
        <f>I338</f>
        <v>87659.41</v>
      </c>
      <c r="J352" s="41">
        <f>J338</f>
        <v>127955.20999999999</v>
      </c>
      <c r="K352" s="47">
        <f>K338+K351</f>
        <v>25833.989999999998</v>
      </c>
      <c r="L352" s="41">
        <f>L338+L351</f>
        <v>1353971.37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132367.28+5385.25</f>
        <v>137752.53</v>
      </c>
      <c r="I358" s="18">
        <v>550.59</v>
      </c>
      <c r="J358" s="18"/>
      <c r="K358" s="18"/>
      <c r="L358" s="13">
        <f>SUM(F358:K358)</f>
        <v>138303.12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75638.44</v>
      </c>
      <c r="I359" s="18">
        <v>314.62</v>
      </c>
      <c r="J359" s="18"/>
      <c r="K359" s="18"/>
      <c r="L359" s="19">
        <f>SUM(F359:K359)</f>
        <v>75953.06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170186.5</v>
      </c>
      <c r="I360" s="18">
        <v>707.9</v>
      </c>
      <c r="J360" s="18"/>
      <c r="K360" s="18">
        <v>20</v>
      </c>
      <c r="L360" s="19">
        <f>SUM(F360:K360)</f>
        <v>170914.4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383577.47</v>
      </c>
      <c r="I362" s="47">
        <f t="shared" si="22"/>
        <v>1573.1100000000001</v>
      </c>
      <c r="J362" s="47">
        <f t="shared" si="22"/>
        <v>0</v>
      </c>
      <c r="K362" s="47">
        <f t="shared" si="22"/>
        <v>20</v>
      </c>
      <c r="L362" s="47">
        <f t="shared" si="22"/>
        <v>385170.57999999996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480.59</v>
      </c>
      <c r="G367" s="18">
        <v>274.63</v>
      </c>
      <c r="H367" s="18">
        <v>617.9</v>
      </c>
      <c r="I367" s="56">
        <f>SUM(F367:H367)</f>
        <v>1373.12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70</v>
      </c>
      <c r="G368" s="63">
        <v>39.99</v>
      </c>
      <c r="H368" s="63">
        <v>90</v>
      </c>
      <c r="I368" s="56">
        <f>SUM(F368:H368)</f>
        <v>199.99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550.58999999999992</v>
      </c>
      <c r="G369" s="47">
        <f>SUM(G367:G368)</f>
        <v>314.62</v>
      </c>
      <c r="H369" s="47">
        <f>SUM(H367:H368)</f>
        <v>707.9</v>
      </c>
      <c r="I369" s="47">
        <f>SUM(I367:I368)</f>
        <v>1573.11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>
        <v>100000</v>
      </c>
      <c r="H387" s="18">
        <v>136.9</v>
      </c>
      <c r="I387" s="18"/>
      <c r="J387" s="24" t="s">
        <v>286</v>
      </c>
      <c r="K387" s="24" t="s">
        <v>286</v>
      </c>
      <c r="L387" s="56">
        <f t="shared" ref="L387:L392" si="25">SUM(F387:K387)</f>
        <v>100136.9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86.36</v>
      </c>
      <c r="I389" s="18"/>
      <c r="J389" s="24" t="s">
        <v>286</v>
      </c>
      <c r="K389" s="24" t="s">
        <v>286</v>
      </c>
      <c r="L389" s="56">
        <f t="shared" si="25"/>
        <v>86.36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>
        <v>506.33</v>
      </c>
      <c r="I390" s="18"/>
      <c r="J390" s="24" t="s">
        <v>286</v>
      </c>
      <c r="K390" s="24" t="s">
        <v>286</v>
      </c>
      <c r="L390" s="56">
        <f t="shared" si="25"/>
        <v>506.33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>
        <v>60.53</v>
      </c>
      <c r="I391" s="18"/>
      <c r="J391" s="24" t="s">
        <v>286</v>
      </c>
      <c r="K391" s="24" t="s">
        <v>286</v>
      </c>
      <c r="L391" s="56">
        <f t="shared" si="25"/>
        <v>60.53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790.11999999999989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100790.12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357.27</v>
      </c>
      <c r="I397" s="18"/>
      <c r="J397" s="24" t="s">
        <v>286</v>
      </c>
      <c r="K397" s="24" t="s">
        <v>286</v>
      </c>
      <c r="L397" s="56">
        <f t="shared" si="26"/>
        <v>357.27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357.27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357.27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1147.3899999999999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101147.39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404826.01</v>
      </c>
      <c r="G439" s="18"/>
      <c r="H439" s="18"/>
      <c r="I439" s="56">
        <f t="shared" ref="I439:I445" si="33">SUM(F439:H439)</f>
        <v>404826.01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404826.01</v>
      </c>
      <c r="G446" s="13">
        <f>SUM(G439:G445)</f>
        <v>0</v>
      </c>
      <c r="H446" s="13">
        <f>SUM(H439:H445)</f>
        <v>0</v>
      </c>
      <c r="I446" s="13">
        <f>SUM(I439:I445)</f>
        <v>404826.01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404826.01</v>
      </c>
      <c r="G459" s="18"/>
      <c r="H459" s="18"/>
      <c r="I459" s="56">
        <f t="shared" si="34"/>
        <v>404826.01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404826.01</v>
      </c>
      <c r="G460" s="83">
        <f>SUM(G454:G459)</f>
        <v>0</v>
      </c>
      <c r="H460" s="83">
        <f>SUM(H454:H459)</f>
        <v>0</v>
      </c>
      <c r="I460" s="83">
        <f>SUM(I454:I459)</f>
        <v>404826.01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404826.01</v>
      </c>
      <c r="G461" s="42">
        <f>G452+G460</f>
        <v>0</v>
      </c>
      <c r="H461" s="42">
        <f>H452+H460</f>
        <v>0</v>
      </c>
      <c r="I461" s="42">
        <f>I452+I460</f>
        <v>404826.01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750629.12</v>
      </c>
      <c r="G465" s="18">
        <v>1500</v>
      </c>
      <c r="H465" s="18">
        <v>0</v>
      </c>
      <c r="I465" s="18"/>
      <c r="J465" s="18">
        <v>303678.62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16202791.59+803.74</f>
        <v>16203595.33</v>
      </c>
      <c r="G468" s="18">
        <f>386695.8+4000.89</f>
        <v>390696.69</v>
      </c>
      <c r="H468" s="18">
        <f>1335877.35+18094.02</f>
        <v>1353971.37</v>
      </c>
      <c r="I468" s="18"/>
      <c r="J468" s="18">
        <v>101147.39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16203595.33</v>
      </c>
      <c r="G470" s="53">
        <f>SUM(G468:G469)</f>
        <v>390696.69</v>
      </c>
      <c r="H470" s="53">
        <f>SUM(H468:H469)</f>
        <v>1353971.37</v>
      </c>
      <c r="I470" s="53">
        <f>SUM(I468:I469)</f>
        <v>0</v>
      </c>
      <c r="J470" s="53">
        <f>SUM(J468:J469)</f>
        <v>101147.39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16236837.49+18094.02</f>
        <v>16254931.51</v>
      </c>
      <c r="G472" s="18">
        <f>385170.58</f>
        <v>385170.58</v>
      </c>
      <c r="H472" s="18">
        <v>1353971.37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16254931.51</v>
      </c>
      <c r="G474" s="53">
        <f>SUM(G472:G473)</f>
        <v>385170.58</v>
      </c>
      <c r="H474" s="53">
        <f>SUM(H472:H473)</f>
        <v>1353971.37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699292.93999999948</v>
      </c>
      <c r="G476" s="53">
        <f>(G465+G470)- G474</f>
        <v>7026.109999999986</v>
      </c>
      <c r="H476" s="53">
        <f>(H465+H470)- H474</f>
        <v>0</v>
      </c>
      <c r="I476" s="53">
        <f>(I465+I470)- I474</f>
        <v>0</v>
      </c>
      <c r="J476" s="53">
        <f>(J465+J470)- J474</f>
        <v>404826.01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10156100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5570000</v>
      </c>
      <c r="G495" s="18"/>
      <c r="H495" s="18"/>
      <c r="I495" s="18"/>
      <c r="J495" s="18"/>
      <c r="K495" s="53">
        <f>SUM(F495:J495)</f>
        <v>5570000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5060000</v>
      </c>
      <c r="G498" s="204"/>
      <c r="H498" s="204"/>
      <c r="I498" s="204"/>
      <c r="J498" s="204"/>
      <c r="K498" s="205">
        <f t="shared" si="35"/>
        <v>5060000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903276</v>
      </c>
      <c r="G499" s="18"/>
      <c r="H499" s="18"/>
      <c r="I499" s="18"/>
      <c r="J499" s="18"/>
      <c r="K499" s="53">
        <f t="shared" si="35"/>
        <v>903276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5963276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5963276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510000</v>
      </c>
      <c r="G501" s="204"/>
      <c r="H501" s="204"/>
      <c r="I501" s="204"/>
      <c r="J501" s="204"/>
      <c r="K501" s="205">
        <f t="shared" si="35"/>
        <v>510000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230150</v>
      </c>
      <c r="G502" s="18"/>
      <c r="H502" s="18"/>
      <c r="I502" s="18"/>
      <c r="J502" s="18"/>
      <c r="K502" s="53">
        <f t="shared" si="35"/>
        <v>230150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740150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740150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681250.23</v>
      </c>
      <c r="G521" s="18">
        <v>256122.89</v>
      </c>
      <c r="H521" s="18">
        <v>660932.51</v>
      </c>
      <c r="I521" s="18">
        <v>4976.1099999999997</v>
      </c>
      <c r="J521" s="18">
        <v>1281.3900000000001</v>
      </c>
      <c r="K521" s="18">
        <v>47.88</v>
      </c>
      <c r="L521" s="88">
        <f>SUM(F521:K521)</f>
        <v>1604611.0099999998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348546.63</v>
      </c>
      <c r="G522" s="18">
        <v>131039.62</v>
      </c>
      <c r="H522" s="18">
        <v>338151.51</v>
      </c>
      <c r="I522" s="18">
        <v>2545.92</v>
      </c>
      <c r="J522" s="18">
        <v>655.6</v>
      </c>
      <c r="K522" s="18">
        <v>24.5</v>
      </c>
      <c r="L522" s="88">
        <f>SUM(F522:K522)</f>
        <v>820963.78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554506</v>
      </c>
      <c r="G523" s="18">
        <v>208472.12</v>
      </c>
      <c r="H523" s="18">
        <v>537968.31999999995</v>
      </c>
      <c r="I523" s="18">
        <v>4050.32</v>
      </c>
      <c r="J523" s="18">
        <v>1043</v>
      </c>
      <c r="K523" s="18">
        <v>39.97</v>
      </c>
      <c r="L523" s="88">
        <f>SUM(F523:K523)</f>
        <v>1306079.73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1584302.8599999999</v>
      </c>
      <c r="G524" s="108">
        <f t="shared" ref="G524:L524" si="36">SUM(G521:G523)</f>
        <v>595634.63</v>
      </c>
      <c r="H524" s="108">
        <f t="shared" si="36"/>
        <v>1537052.3399999999</v>
      </c>
      <c r="I524" s="108">
        <f t="shared" si="36"/>
        <v>11572.35</v>
      </c>
      <c r="J524" s="108">
        <f t="shared" si="36"/>
        <v>2979.9900000000002</v>
      </c>
      <c r="K524" s="108">
        <f t="shared" si="36"/>
        <v>112.35</v>
      </c>
      <c r="L524" s="89">
        <f t="shared" si="36"/>
        <v>3731654.52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286596.32</v>
      </c>
      <c r="G526" s="18">
        <v>120242.1</v>
      </c>
      <c r="H526" s="18">
        <v>40938.71</v>
      </c>
      <c r="I526" s="18">
        <v>1885.05</v>
      </c>
      <c r="J526" s="18"/>
      <c r="K526" s="18"/>
      <c r="L526" s="88">
        <f>SUM(F526:K526)</f>
        <v>449662.18000000005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146630.68</v>
      </c>
      <c r="G527" s="18">
        <v>61519.21</v>
      </c>
      <c r="H527" s="18">
        <v>20945.39</v>
      </c>
      <c r="I527" s="18">
        <v>964.45</v>
      </c>
      <c r="J527" s="18"/>
      <c r="K527" s="18"/>
      <c r="L527" s="88">
        <f>SUM(F527:K527)</f>
        <v>230059.72999999998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233276.07</v>
      </c>
      <c r="G528" s="18">
        <v>97871.47</v>
      </c>
      <c r="H528" s="18">
        <v>33322.21</v>
      </c>
      <c r="I528" s="18">
        <v>1534.35</v>
      </c>
      <c r="J528" s="18"/>
      <c r="K528" s="18"/>
      <c r="L528" s="88">
        <f>SUM(F528:K528)</f>
        <v>366004.10000000003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666503.07000000007</v>
      </c>
      <c r="G529" s="89">
        <f t="shared" ref="G529:L529" si="37">SUM(G526:G528)</f>
        <v>279632.78000000003</v>
      </c>
      <c r="H529" s="89">
        <f t="shared" si="37"/>
        <v>95206.31</v>
      </c>
      <c r="I529" s="89">
        <f t="shared" si="37"/>
        <v>4383.8500000000004</v>
      </c>
      <c r="J529" s="89">
        <f t="shared" si="37"/>
        <v>0</v>
      </c>
      <c r="K529" s="89">
        <f t="shared" si="37"/>
        <v>0</v>
      </c>
      <c r="L529" s="89">
        <f t="shared" si="37"/>
        <v>1045726.01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25668.55</v>
      </c>
      <c r="G531" s="18">
        <v>14087.92</v>
      </c>
      <c r="H531" s="18"/>
      <c r="I531" s="18"/>
      <c r="J531" s="18"/>
      <c r="K531" s="18">
        <v>435.51</v>
      </c>
      <c r="L531" s="88">
        <f>SUM(F531:K531)</f>
        <v>40191.980000000003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13132.75</v>
      </c>
      <c r="G532" s="18">
        <v>7207.77</v>
      </c>
      <c r="H532" s="18"/>
      <c r="I532" s="18"/>
      <c r="J532" s="18"/>
      <c r="K532" s="18">
        <v>222.82</v>
      </c>
      <c r="L532" s="88">
        <f>SUM(F532:K532)</f>
        <v>20563.34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20893.009999999998</v>
      </c>
      <c r="G533" s="18">
        <v>11466.91</v>
      </c>
      <c r="H533" s="18"/>
      <c r="I533" s="18"/>
      <c r="J533" s="18"/>
      <c r="K533" s="18">
        <v>354.49</v>
      </c>
      <c r="L533" s="88">
        <f>SUM(F533:K533)</f>
        <v>32714.41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59694.31</v>
      </c>
      <c r="G534" s="89">
        <f t="shared" ref="G534:L534" si="38">SUM(G531:G533)</f>
        <v>32762.600000000002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1012.8199999999999</v>
      </c>
      <c r="L534" s="89">
        <f t="shared" si="38"/>
        <v>93469.73000000001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6482.06</v>
      </c>
      <c r="I536" s="18"/>
      <c r="J536" s="18"/>
      <c r="K536" s="18"/>
      <c r="L536" s="88">
        <f>SUM(F536:K536)</f>
        <v>6482.06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3316.4</v>
      </c>
      <c r="I537" s="18"/>
      <c r="J537" s="18"/>
      <c r="K537" s="18"/>
      <c r="L537" s="88">
        <f>SUM(F537:K537)</f>
        <v>3316.4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5276.1</v>
      </c>
      <c r="I538" s="18"/>
      <c r="J538" s="18"/>
      <c r="K538" s="18"/>
      <c r="L538" s="88">
        <f>SUM(F538:K538)</f>
        <v>5276.1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15074.560000000001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15074.560000000001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f>34413.93-0.01</f>
        <v>34413.919999999998</v>
      </c>
      <c r="G541" s="18">
        <f>11402.81-0.01</f>
        <v>11402.8</v>
      </c>
      <c r="H541" s="18">
        <v>88402.08</v>
      </c>
      <c r="I541" s="18">
        <v>5336.27</v>
      </c>
      <c r="J541" s="18"/>
      <c r="K541" s="18"/>
      <c r="L541" s="88">
        <f>SUM(F541:K541)</f>
        <v>139555.06999999998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17607.13</v>
      </c>
      <c r="G542" s="18">
        <v>5834</v>
      </c>
      <c r="H542" s="18">
        <v>45228.97</v>
      </c>
      <c r="I542" s="18">
        <v>2730.19</v>
      </c>
      <c r="J542" s="18"/>
      <c r="K542" s="18"/>
      <c r="L542" s="88">
        <f>SUM(F542:K542)</f>
        <v>71400.290000000008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28011.34</v>
      </c>
      <c r="G543" s="18">
        <v>9281.36</v>
      </c>
      <c r="H543" s="18">
        <v>71955.179999999993</v>
      </c>
      <c r="I543" s="18">
        <v>4343.4799999999996</v>
      </c>
      <c r="J543" s="18"/>
      <c r="K543" s="18"/>
      <c r="L543" s="88">
        <f>SUM(F543:K543)</f>
        <v>113591.35999999999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80032.39</v>
      </c>
      <c r="G544" s="193">
        <f t="shared" ref="G544:L544" si="40">SUM(G541:G543)</f>
        <v>26518.16</v>
      </c>
      <c r="H544" s="193">
        <f t="shared" si="40"/>
        <v>205586.22999999998</v>
      </c>
      <c r="I544" s="193">
        <f t="shared" si="40"/>
        <v>12409.94</v>
      </c>
      <c r="J544" s="193">
        <f t="shared" si="40"/>
        <v>0</v>
      </c>
      <c r="K544" s="193">
        <f t="shared" si="40"/>
        <v>0</v>
      </c>
      <c r="L544" s="193">
        <f t="shared" si="40"/>
        <v>324546.71999999997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2390532.63</v>
      </c>
      <c r="G545" s="89">
        <f t="shared" ref="G545:L545" si="41">G524+G529+G534+G539+G544</f>
        <v>934548.17</v>
      </c>
      <c r="H545" s="89">
        <f t="shared" si="41"/>
        <v>1852919.44</v>
      </c>
      <c r="I545" s="89">
        <f t="shared" si="41"/>
        <v>28366.14</v>
      </c>
      <c r="J545" s="89">
        <f t="shared" si="41"/>
        <v>2979.9900000000002</v>
      </c>
      <c r="K545" s="89">
        <f t="shared" si="41"/>
        <v>1125.1699999999998</v>
      </c>
      <c r="L545" s="89">
        <f t="shared" si="41"/>
        <v>5210471.54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1604611.0099999998</v>
      </c>
      <c r="G549" s="87">
        <f>L526</f>
        <v>449662.18000000005</v>
      </c>
      <c r="H549" s="87">
        <f>L531</f>
        <v>40191.980000000003</v>
      </c>
      <c r="I549" s="87">
        <f>L536</f>
        <v>6482.06</v>
      </c>
      <c r="J549" s="87">
        <f>L541</f>
        <v>139555.06999999998</v>
      </c>
      <c r="K549" s="87">
        <f>SUM(F549:J549)</f>
        <v>2240502.2999999998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820963.78</v>
      </c>
      <c r="G550" s="87">
        <f>L527</f>
        <v>230059.72999999998</v>
      </c>
      <c r="H550" s="87">
        <f>L532</f>
        <v>20563.34</v>
      </c>
      <c r="I550" s="87">
        <f>L537</f>
        <v>3316.4</v>
      </c>
      <c r="J550" s="87">
        <f>L542</f>
        <v>71400.290000000008</v>
      </c>
      <c r="K550" s="87">
        <f>SUM(F550:J550)</f>
        <v>1146303.54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1306079.73</v>
      </c>
      <c r="G551" s="87">
        <f>L528</f>
        <v>366004.10000000003</v>
      </c>
      <c r="H551" s="87">
        <f>L533</f>
        <v>32714.41</v>
      </c>
      <c r="I551" s="87">
        <f>L538</f>
        <v>5276.1</v>
      </c>
      <c r="J551" s="87">
        <f>L543</f>
        <v>113591.35999999999</v>
      </c>
      <c r="K551" s="87">
        <f>SUM(F551:J551)</f>
        <v>1823665.7000000002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3731654.52</v>
      </c>
      <c r="G552" s="89">
        <f t="shared" si="42"/>
        <v>1045726.01</v>
      </c>
      <c r="H552" s="89">
        <f t="shared" si="42"/>
        <v>93469.73000000001</v>
      </c>
      <c r="I552" s="89">
        <f t="shared" si="42"/>
        <v>15074.560000000001</v>
      </c>
      <c r="J552" s="89">
        <f t="shared" si="42"/>
        <v>324546.71999999997</v>
      </c>
      <c r="K552" s="89">
        <f t="shared" si="42"/>
        <v>5210471.54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>
        <v>18920.22</v>
      </c>
      <c r="I562" s="18">
        <v>261.92</v>
      </c>
      <c r="J562" s="18"/>
      <c r="K562" s="18"/>
      <c r="L562" s="88">
        <f>SUM(F562:K562)</f>
        <v>19182.14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>
        <v>9680.11</v>
      </c>
      <c r="I563" s="18">
        <v>134.01</v>
      </c>
      <c r="J563" s="18"/>
      <c r="K563" s="18"/>
      <c r="L563" s="88">
        <f>SUM(F563:K563)</f>
        <v>9814.1200000000008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>
        <v>15400.17</v>
      </c>
      <c r="I564" s="18">
        <v>213.19</v>
      </c>
      <c r="J564" s="18"/>
      <c r="K564" s="18"/>
      <c r="L564" s="88">
        <f>SUM(F564:K564)</f>
        <v>15613.36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44000.5</v>
      </c>
      <c r="I565" s="89">
        <f t="shared" si="44"/>
        <v>609.12</v>
      </c>
      <c r="J565" s="89">
        <f t="shared" si="44"/>
        <v>0</v>
      </c>
      <c r="K565" s="89">
        <f t="shared" si="44"/>
        <v>0</v>
      </c>
      <c r="L565" s="89">
        <f t="shared" si="44"/>
        <v>44609.62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>
        <v>8916.9599999999991</v>
      </c>
      <c r="I569" s="18"/>
      <c r="J569" s="18"/>
      <c r="K569" s="18"/>
      <c r="L569" s="88">
        <f>SUM(F569:K569)</f>
        <v>8916.9599999999991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8916.9599999999991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8916.9599999999991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52917.46</v>
      </c>
      <c r="I571" s="89">
        <f t="shared" si="46"/>
        <v>609.12</v>
      </c>
      <c r="J571" s="89">
        <f t="shared" si="46"/>
        <v>0</v>
      </c>
      <c r="K571" s="89">
        <f t="shared" si="46"/>
        <v>0</v>
      </c>
      <c r="L571" s="89">
        <f t="shared" si="46"/>
        <v>53526.58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1800</v>
      </c>
      <c r="I575" s="87">
        <f>SUM(F575:H575)</f>
        <v>1800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>
        <v>460.71</v>
      </c>
      <c r="I578" s="87">
        <f t="shared" si="47"/>
        <v>460.71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15625.72</v>
      </c>
      <c r="G579" s="18"/>
      <c r="H579" s="18">
        <v>96325.47</v>
      </c>
      <c r="I579" s="87">
        <f t="shared" si="47"/>
        <v>111951.19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211623.03</v>
      </c>
      <c r="G582" s="18">
        <v>233006.03</v>
      </c>
      <c r="H582" s="18">
        <v>596770.82999999996</v>
      </c>
      <c r="I582" s="87">
        <f t="shared" si="47"/>
        <v>1041399.8899999999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11531.68</v>
      </c>
      <c r="I584" s="87">
        <f t="shared" si="47"/>
        <v>11531.68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SUM(197102.75+2214.41)</f>
        <v>199317.16</v>
      </c>
      <c r="I591" s="18">
        <f>SUM(112630.14+1265.37)</f>
        <v>113895.51</v>
      </c>
      <c r="J591" s="18">
        <f>SUM(253417.82+135.99)</f>
        <v>253553.81</v>
      </c>
      <c r="K591" s="104">
        <f t="shared" ref="K591:K597" si="48">SUM(H591:J591)</f>
        <v>566766.48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SUM(44398.54+55329.3)</f>
        <v>99727.84</v>
      </c>
      <c r="I592" s="18">
        <f>SUM(11861.04+25370.6)</f>
        <v>37231.64</v>
      </c>
      <c r="J592" s="18">
        <f>SUM(130503.4+57083.84)</f>
        <v>187587.24</v>
      </c>
      <c r="K592" s="104">
        <f t="shared" si="48"/>
        <v>324546.71999999997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f>SUM(1974.87+736.22)</f>
        <v>2711.09</v>
      </c>
      <c r="K593" s="104">
        <f t="shared" si="48"/>
        <v>2711.09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2305.31</v>
      </c>
      <c r="J594" s="18">
        <v>13289.58</v>
      </c>
      <c r="K594" s="104">
        <f t="shared" si="48"/>
        <v>15594.89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SUM(295.55+6086.91)</f>
        <v>6382.46</v>
      </c>
      <c r="I595" s="18">
        <v>458.9</v>
      </c>
      <c r="J595" s="18">
        <v>2284.19</v>
      </c>
      <c r="K595" s="104">
        <f t="shared" si="48"/>
        <v>9125.5499999999993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f>SUM(620.89)</f>
        <v>620.89</v>
      </c>
      <c r="I596" s="18">
        <v>354.79</v>
      </c>
      <c r="J596" s="18">
        <v>798.29</v>
      </c>
      <c r="K596" s="104">
        <f t="shared" si="48"/>
        <v>1773.97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306048.35000000003</v>
      </c>
      <c r="I598" s="108">
        <f>SUM(I591:I597)</f>
        <v>154246.15</v>
      </c>
      <c r="J598" s="108">
        <f>SUM(J591:J597)</f>
        <v>460224.2</v>
      </c>
      <c r="K598" s="108">
        <f>SUM(K591:K597)</f>
        <v>920518.7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SUM(66013.1+17212.5)</f>
        <v>83225.600000000006</v>
      </c>
      <c r="I604" s="18">
        <f>SUM(54902.19+17212.5)</f>
        <v>72114.69</v>
      </c>
      <c r="J604" s="18">
        <f>SUM(133424.49+93530.21)</f>
        <v>226954.7</v>
      </c>
      <c r="K604" s="104">
        <f>SUM(H604:J604)</f>
        <v>382294.99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83225.600000000006</v>
      </c>
      <c r="I605" s="108">
        <f>SUM(I602:I604)</f>
        <v>72114.69</v>
      </c>
      <c r="J605" s="108">
        <f>SUM(J602:J604)</f>
        <v>226954.7</v>
      </c>
      <c r="K605" s="108">
        <f>SUM(K602:K604)</f>
        <v>382294.99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27637.19+3142.41</f>
        <v>30779.599999999999</v>
      </c>
      <c r="G611" s="18">
        <f>5192.62+363.18</f>
        <v>5555.8</v>
      </c>
      <c r="H611" s="18"/>
      <c r="I611" s="18"/>
      <c r="J611" s="18"/>
      <c r="K611" s="18"/>
      <c r="L611" s="88">
        <f>SUM(F611:K611)</f>
        <v>36335.4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5417.25</v>
      </c>
      <c r="G612" s="18">
        <v>1104.19</v>
      </c>
      <c r="H612" s="18"/>
      <c r="I612" s="18">
        <v>257.52999999999997</v>
      </c>
      <c r="J612" s="18"/>
      <c r="K612" s="18"/>
      <c r="L612" s="88">
        <f>SUM(F612:K612)</f>
        <v>6778.97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3652.5</v>
      </c>
      <c r="G613" s="18">
        <v>730.17</v>
      </c>
      <c r="H613" s="18"/>
      <c r="I613" s="18"/>
      <c r="J613" s="18"/>
      <c r="K613" s="18"/>
      <c r="L613" s="88">
        <f>SUM(F613:K613)</f>
        <v>4382.67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39849.35</v>
      </c>
      <c r="G614" s="108">
        <f t="shared" si="49"/>
        <v>7390.16</v>
      </c>
      <c r="H614" s="108">
        <f t="shared" si="49"/>
        <v>0</v>
      </c>
      <c r="I614" s="108">
        <f t="shared" si="49"/>
        <v>257.52999999999997</v>
      </c>
      <c r="J614" s="108">
        <f t="shared" si="49"/>
        <v>0</v>
      </c>
      <c r="K614" s="108">
        <f t="shared" si="49"/>
        <v>0</v>
      </c>
      <c r="L614" s="89">
        <f t="shared" si="49"/>
        <v>47497.04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1502633.25</v>
      </c>
      <c r="H617" s="109">
        <f>SUM(F52)</f>
        <v>1502633.2499999998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24025.089999999989</v>
      </c>
      <c r="H618" s="109">
        <f>SUM(G52)</f>
        <v>24025.09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359037.77</v>
      </c>
      <c r="H619" s="109">
        <f>SUM(H52)</f>
        <v>359037.77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404826.01</v>
      </c>
      <c r="H621" s="109">
        <f>SUM(J52)</f>
        <v>404826.01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699292.94</v>
      </c>
      <c r="H622" s="109">
        <f>F476</f>
        <v>699292.93999999948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7026.11</v>
      </c>
      <c r="H623" s="109">
        <f>G476</f>
        <v>7026.109999999986</v>
      </c>
      <c r="I623" s="121" t="s">
        <v>102</v>
      </c>
      <c r="J623" s="109">
        <f t="shared" si="50"/>
        <v>1.3642420526593924E-11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404826.01</v>
      </c>
      <c r="H626" s="109">
        <f>J476</f>
        <v>404826.01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16203595.33</v>
      </c>
      <c r="H627" s="104">
        <f>SUM(F468)</f>
        <v>16203595.33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390696.69</v>
      </c>
      <c r="H628" s="104">
        <f>SUM(G468)</f>
        <v>390696.69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1353971.3699999999</v>
      </c>
      <c r="H629" s="104">
        <f>SUM(H468)</f>
        <v>1353971.37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101147.39</v>
      </c>
      <c r="H631" s="104">
        <f>SUM(J468)</f>
        <v>101147.39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16254931.51</v>
      </c>
      <c r="H632" s="104">
        <f>SUM(F472)</f>
        <v>16254931.51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1353971.37</v>
      </c>
      <c r="H633" s="104">
        <f>SUM(H472)</f>
        <v>1353971.37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1573.1100000000001</v>
      </c>
      <c r="H634" s="104">
        <f>I369</f>
        <v>1573.11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385170.57999999996</v>
      </c>
      <c r="H635" s="104">
        <f>SUM(G472)</f>
        <v>385170.58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101147.39</v>
      </c>
      <c r="H637" s="164">
        <f>SUM(J468)</f>
        <v>101147.39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404826.01</v>
      </c>
      <c r="H639" s="104">
        <f>SUM(F461)</f>
        <v>404826.01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404826.01</v>
      </c>
      <c r="H642" s="104">
        <f>SUM(I461)</f>
        <v>404826.01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1147.3900000000001</v>
      </c>
      <c r="H644" s="104">
        <f>H408</f>
        <v>1147.3899999999999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100000</v>
      </c>
      <c r="H645" s="104">
        <f>G408</f>
        <v>100000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101147.39</v>
      </c>
      <c r="H646" s="104">
        <f>L408</f>
        <v>101147.39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920518.7</v>
      </c>
      <c r="H647" s="104">
        <f>L208+L226+L244</f>
        <v>920518.7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382294.99</v>
      </c>
      <c r="H648" s="104">
        <f>(J257+J338)-(J255+J336)</f>
        <v>382294.99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306048.34999999998</v>
      </c>
      <c r="H649" s="104">
        <f>H598</f>
        <v>306048.35000000003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154246.15</v>
      </c>
      <c r="H650" s="104">
        <f>I598</f>
        <v>154246.15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460224.19999999995</v>
      </c>
      <c r="H651" s="104">
        <f>J598</f>
        <v>460224.2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20000</v>
      </c>
      <c r="H652" s="104">
        <f>K263+K345</f>
        <v>20000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18094.02</v>
      </c>
      <c r="H653" s="104">
        <f>K264</f>
        <v>18094.02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100000</v>
      </c>
      <c r="H655" s="104">
        <f>K266+K347</f>
        <v>100000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6468837.6499999994</v>
      </c>
      <c r="G660" s="19">
        <f>(L229+L309+L359)</f>
        <v>3085154.8900000006</v>
      </c>
      <c r="H660" s="19">
        <f>(L247+L328+L360)</f>
        <v>7488417.8200000003</v>
      </c>
      <c r="I660" s="19">
        <f>SUM(F660:H660)</f>
        <v>17042410.359999999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42269.458914387491</v>
      </c>
      <c r="G661" s="19">
        <f>(L359/IF(SUM(L358:L360)=0,1,SUM(L358:L360))*(SUM(G97:G110)))</f>
        <v>23213.465821248341</v>
      </c>
      <c r="H661" s="19">
        <f>(L360/IF(SUM(L358:L360)=0,1,SUM(L358:L360))*(SUM(G97:G110)))</f>
        <v>52236.415264364165</v>
      </c>
      <c r="I661" s="19">
        <f>SUM(F661:H661)</f>
        <v>117719.34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273392.71999999997</v>
      </c>
      <c r="G662" s="19">
        <f>(L226+L306)-(J226+J306)</f>
        <v>136373.28999999998</v>
      </c>
      <c r="H662" s="19">
        <f>(L244+L325)-(J244+J325)</f>
        <v>415875.89999999997</v>
      </c>
      <c r="I662" s="19">
        <f>SUM(F662:H662)</f>
        <v>825641.90999999992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346809.75</v>
      </c>
      <c r="G663" s="199">
        <f>SUM(G575:G587)+SUM(I602:I604)+L612</f>
        <v>311899.68999999994</v>
      </c>
      <c r="H663" s="199">
        <f>SUM(H575:H587)+SUM(J602:J604)+L613</f>
        <v>938226.06000000017</v>
      </c>
      <c r="I663" s="19">
        <f>SUM(F663:H663)</f>
        <v>1596935.5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5806365.7210856117</v>
      </c>
      <c r="G664" s="19">
        <f>G660-SUM(G661:G663)</f>
        <v>2613668.4441787526</v>
      </c>
      <c r="H664" s="19">
        <f>H660-SUM(H661:H663)</f>
        <v>6082079.444735636</v>
      </c>
      <c r="I664" s="19">
        <f>I660-SUM(I661:I663)</f>
        <v>14502113.609999999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430.05</v>
      </c>
      <c r="G665" s="248">
        <v>194.72</v>
      </c>
      <c r="H665" s="248">
        <v>333.71</v>
      </c>
      <c r="I665" s="19">
        <f>SUM(F665:H665)</f>
        <v>958.48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13501.61</v>
      </c>
      <c r="G667" s="19">
        <f>ROUND(G664/G665,2)</f>
        <v>13422.7</v>
      </c>
      <c r="H667" s="19">
        <f>ROUND(H664/H665,2)</f>
        <v>18225.64</v>
      </c>
      <c r="I667" s="19">
        <f>ROUND(I664/I665,2)</f>
        <v>15130.32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1.84</v>
      </c>
      <c r="I670" s="19">
        <f>SUM(F670:H670)</f>
        <v>1.84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13501.61</v>
      </c>
      <c r="G672" s="19">
        <f>ROUND((G664+G669)/(G665+G670),2)</f>
        <v>13422.7</v>
      </c>
      <c r="H672" s="19">
        <f>ROUND((H664+H669)/(H665+H670),2)</f>
        <v>18125.7</v>
      </c>
      <c r="I672" s="19">
        <f>ROUND((I664+I669)/(I665+I670),2)</f>
        <v>15101.33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3" zoomScale="120" zoomScaleNormal="120" workbookViewId="0">
      <selection activeCell="E34" sqref="E3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Newport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3146007.8</v>
      </c>
      <c r="C9" s="229">
        <f>'DOE25'!G197+'DOE25'!G215+'DOE25'!G233+'DOE25'!G276+'DOE25'!G295+'DOE25'!G314</f>
        <v>1665040.4000000001</v>
      </c>
    </row>
    <row r="10" spans="1:3" x14ac:dyDescent="0.2">
      <c r="A10" t="s">
        <v>773</v>
      </c>
      <c r="B10" s="240">
        <f>SUM(2922451.5+557.3+1578.55)</f>
        <v>2924587.3499999996</v>
      </c>
      <c r="C10" s="240">
        <v>1540162.37</v>
      </c>
    </row>
    <row r="11" spans="1:3" x14ac:dyDescent="0.2">
      <c r="A11" t="s">
        <v>774</v>
      </c>
      <c r="B11" s="240">
        <v>78514.17</v>
      </c>
      <c r="C11" s="240">
        <v>41554.019999999997</v>
      </c>
    </row>
    <row r="12" spans="1:3" x14ac:dyDescent="0.2">
      <c r="A12" t="s">
        <v>775</v>
      </c>
      <c r="B12" s="240">
        <f>SUM(142683.78+200+22.5)</f>
        <v>142906.28</v>
      </c>
      <c r="C12" s="240">
        <v>83324.009999999995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3146007.7999999993</v>
      </c>
      <c r="C13" s="231">
        <f>SUM(C10:C12)</f>
        <v>1665040.4000000001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1585285.4799999997</v>
      </c>
      <c r="C18" s="229">
        <f>'DOE25'!G198+'DOE25'!G216+'DOE25'!G234+'DOE25'!G277+'DOE25'!G296+'DOE25'!G315</f>
        <v>595710.85</v>
      </c>
    </row>
    <row r="19" spans="1:3" x14ac:dyDescent="0.2">
      <c r="A19" t="s">
        <v>773</v>
      </c>
      <c r="B19" s="240">
        <v>598272.38</v>
      </c>
      <c r="C19" s="240">
        <v>224815.88</v>
      </c>
    </row>
    <row r="20" spans="1:3" x14ac:dyDescent="0.2">
      <c r="A20" t="s">
        <v>774</v>
      </c>
      <c r="B20" s="240">
        <f>SUM(853959.83+389.33)</f>
        <v>854349.15999999992</v>
      </c>
      <c r="C20" s="240">
        <v>321043.15999999997</v>
      </c>
    </row>
    <row r="21" spans="1:3" x14ac:dyDescent="0.2">
      <c r="A21" t="s">
        <v>775</v>
      </c>
      <c r="B21" s="240">
        <v>132663.94</v>
      </c>
      <c r="C21" s="240">
        <v>49851.81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1585285.48</v>
      </c>
      <c r="C22" s="231">
        <f>SUM(C19:C21)</f>
        <v>595710.85000000009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382987.64</v>
      </c>
      <c r="C27" s="234">
        <f>'DOE25'!G199+'DOE25'!G217+'DOE25'!G235+'DOE25'!G278+'DOE25'!G297+'DOE25'!G316</f>
        <v>211852.66999999998</v>
      </c>
    </row>
    <row r="28" spans="1:3" x14ac:dyDescent="0.2">
      <c r="A28" t="s">
        <v>773</v>
      </c>
      <c r="B28" s="240">
        <v>381979.64</v>
      </c>
      <c r="C28" s="240">
        <v>211763.92</v>
      </c>
    </row>
    <row r="29" spans="1:3" x14ac:dyDescent="0.2">
      <c r="A29" t="s">
        <v>774</v>
      </c>
      <c r="B29" s="240">
        <v>1008</v>
      </c>
      <c r="C29" s="240">
        <v>88.75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382987.64</v>
      </c>
      <c r="C31" s="231">
        <f>SUM(C28:C30)</f>
        <v>211852.67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166974.65</v>
      </c>
      <c r="C36" s="235">
        <f>'DOE25'!G200+'DOE25'!G218+'DOE25'!G236+'DOE25'!G279+'DOE25'!G298+'DOE25'!G317</f>
        <v>46057.75</v>
      </c>
    </row>
    <row r="37" spans="1:3" x14ac:dyDescent="0.2">
      <c r="A37" t="s">
        <v>773</v>
      </c>
      <c r="B37" s="240">
        <v>86586.19</v>
      </c>
      <c r="C37" s="240">
        <v>23883.66</v>
      </c>
    </row>
    <row r="38" spans="1:3" x14ac:dyDescent="0.2">
      <c r="A38" t="s">
        <v>774</v>
      </c>
      <c r="B38" s="240">
        <v>3427.5</v>
      </c>
      <c r="C38" s="240">
        <v>301.77999999999997</v>
      </c>
    </row>
    <row r="39" spans="1:3" x14ac:dyDescent="0.2">
      <c r="A39" t="s">
        <v>775</v>
      </c>
      <c r="B39" s="240">
        <v>76960.960000000006</v>
      </c>
      <c r="C39" s="240">
        <v>21872.31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166974.65000000002</v>
      </c>
      <c r="C40" s="231">
        <f>SUM(C37:C39)</f>
        <v>46057.75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10" zoomScaleNormal="110" workbookViewId="0">
      <pane ySplit="4" topLeftCell="A5" activePane="bottomLeft" state="frozen"/>
      <selection activeCell="F46" sqref="F46"/>
      <selection pane="bottomLeft" activeCell="J1" sqref="J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Newport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8944431.7100000009</v>
      </c>
      <c r="D5" s="20">
        <f>SUM('DOE25'!L197:L200)+SUM('DOE25'!L215:L218)+SUM('DOE25'!L233:L236)-F5-G5</f>
        <v>8897481.6500000022</v>
      </c>
      <c r="E5" s="243"/>
      <c r="F5" s="255">
        <f>SUM('DOE25'!J197:J200)+SUM('DOE25'!J215:J218)+SUM('DOE25'!J233:J236)</f>
        <v>28165.19</v>
      </c>
      <c r="G5" s="53">
        <f>SUM('DOE25'!K197:K200)+SUM('DOE25'!K215:K218)+SUM('DOE25'!K233:K236)</f>
        <v>18784.870000000003</v>
      </c>
      <c r="H5" s="259"/>
    </row>
    <row r="6" spans="1:9" x14ac:dyDescent="0.2">
      <c r="A6" s="32">
        <v>2100</v>
      </c>
      <c r="B6" t="s">
        <v>795</v>
      </c>
      <c r="C6" s="245">
        <f t="shared" si="0"/>
        <v>1526170.63</v>
      </c>
      <c r="D6" s="20">
        <f>'DOE25'!L202+'DOE25'!L220+'DOE25'!L238-F6-G6</f>
        <v>1524591.63</v>
      </c>
      <c r="E6" s="243"/>
      <c r="F6" s="255">
        <f>'DOE25'!J202+'DOE25'!J220+'DOE25'!J238</f>
        <v>0</v>
      </c>
      <c r="G6" s="53">
        <f>'DOE25'!K202+'DOE25'!K220+'DOE25'!K238</f>
        <v>1579</v>
      </c>
      <c r="H6" s="259"/>
    </row>
    <row r="7" spans="1:9" x14ac:dyDescent="0.2">
      <c r="A7" s="32">
        <v>2200</v>
      </c>
      <c r="B7" t="s">
        <v>828</v>
      </c>
      <c r="C7" s="245">
        <f t="shared" si="0"/>
        <v>843955.28</v>
      </c>
      <c r="D7" s="20">
        <f>'DOE25'!L203+'DOE25'!L221+'DOE25'!L239-F7-G7</f>
        <v>726108.8600000001</v>
      </c>
      <c r="E7" s="243"/>
      <c r="F7" s="255">
        <f>'DOE25'!J203+'DOE25'!J221+'DOE25'!J239</f>
        <v>110970.41999999998</v>
      </c>
      <c r="G7" s="53">
        <f>'DOE25'!K203+'DOE25'!K221+'DOE25'!K239</f>
        <v>6876</v>
      </c>
      <c r="H7" s="259"/>
    </row>
    <row r="8" spans="1:9" x14ac:dyDescent="0.2">
      <c r="A8" s="32">
        <v>2300</v>
      </c>
      <c r="B8" t="s">
        <v>796</v>
      </c>
      <c r="C8" s="245">
        <f t="shared" si="0"/>
        <v>73361.87</v>
      </c>
      <c r="D8" s="243"/>
      <c r="E8" s="20">
        <f>'DOE25'!L204+'DOE25'!L222+'DOE25'!L240-F8-G8-D9-D11</f>
        <v>64369.31</v>
      </c>
      <c r="F8" s="255">
        <f>'DOE25'!J204+'DOE25'!J222+'DOE25'!J240</f>
        <v>827.97</v>
      </c>
      <c r="G8" s="53">
        <f>'DOE25'!K204+'DOE25'!K222+'DOE25'!K240</f>
        <v>8164.59</v>
      </c>
      <c r="H8" s="259"/>
    </row>
    <row r="9" spans="1:9" x14ac:dyDescent="0.2">
      <c r="A9" s="32">
        <v>2310</v>
      </c>
      <c r="B9" t="s">
        <v>812</v>
      </c>
      <c r="C9" s="245">
        <f t="shared" si="0"/>
        <v>123153.77</v>
      </c>
      <c r="D9" s="244">
        <v>123153.77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24000</v>
      </c>
      <c r="D10" s="243"/>
      <c r="E10" s="244">
        <v>24000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286994.38</v>
      </c>
      <c r="D11" s="244">
        <v>286994.38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756123.62</v>
      </c>
      <c r="D12" s="20">
        <f>'DOE25'!L205+'DOE25'!L223+'DOE25'!L241-F12-G12</f>
        <v>745717.13</v>
      </c>
      <c r="E12" s="243"/>
      <c r="F12" s="255">
        <f>'DOE25'!J205+'DOE25'!J223+'DOE25'!J241</f>
        <v>1234.8600000000001</v>
      </c>
      <c r="G12" s="53">
        <f>'DOE25'!K205+'DOE25'!K223+'DOE25'!K241</f>
        <v>9171.630000000001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510317.51</v>
      </c>
      <c r="D13" s="243"/>
      <c r="E13" s="20">
        <f>'DOE25'!L206+'DOE25'!L224+'DOE25'!L242-F13-G13</f>
        <v>503017.43</v>
      </c>
      <c r="F13" s="255">
        <f>'DOE25'!J206+'DOE25'!J224+'DOE25'!J242</f>
        <v>979.93000000000006</v>
      </c>
      <c r="G13" s="53">
        <f>'DOE25'!K206+'DOE25'!J224+'DOE25'!K242</f>
        <v>6320.1500000000005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1366160.02</v>
      </c>
      <c r="D14" s="20">
        <f>'DOE25'!L207+'DOE25'!L225+'DOE25'!L243-F14-G14</f>
        <v>1352260.4</v>
      </c>
      <c r="E14" s="243"/>
      <c r="F14" s="255">
        <f>'DOE25'!J207+'DOE25'!J225+'DOE25'!J243</f>
        <v>13609.620000000003</v>
      </c>
      <c r="G14" s="53">
        <f>'DOE25'!K207+'DOE25'!K225+'DOE25'!K243</f>
        <v>290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920518.7</v>
      </c>
      <c r="D15" s="20">
        <f>'DOE25'!L208+'DOE25'!L226+'DOE25'!L244-F15-G15</f>
        <v>821001.05999999994</v>
      </c>
      <c r="E15" s="243"/>
      <c r="F15" s="255">
        <f>'DOE25'!J208+'DOE25'!J226+'DOE25'!J244</f>
        <v>98551.790000000008</v>
      </c>
      <c r="G15" s="53">
        <f>'DOE25'!K208+'DOE25'!K226+'DOE25'!K244</f>
        <v>965.85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765650</v>
      </c>
      <c r="D25" s="243"/>
      <c r="E25" s="243"/>
      <c r="F25" s="258"/>
      <c r="G25" s="256"/>
      <c r="H25" s="257">
        <f>'DOE25'!L260+'DOE25'!L261+'DOE25'!L341+'DOE25'!L342</f>
        <v>765650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383797.45999999996</v>
      </c>
      <c r="D29" s="20">
        <f>'DOE25'!L358+'DOE25'!L359+'DOE25'!L360-'DOE25'!I367-F29-G29</f>
        <v>383777.45999999996</v>
      </c>
      <c r="E29" s="243"/>
      <c r="F29" s="255">
        <f>'DOE25'!J358+'DOE25'!J359+'DOE25'!J360</f>
        <v>0</v>
      </c>
      <c r="G29" s="53">
        <f>'DOE25'!K358+'DOE25'!K359+'DOE25'!K360</f>
        <v>20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1353971.37</v>
      </c>
      <c r="D31" s="20">
        <f>'DOE25'!L290+'DOE25'!L309+'DOE25'!L328+'DOE25'!L333+'DOE25'!L334+'DOE25'!L335-F31-G31</f>
        <v>1200182.1700000002</v>
      </c>
      <c r="E31" s="243"/>
      <c r="F31" s="255">
        <f>'DOE25'!J290+'DOE25'!J309+'DOE25'!J328+'DOE25'!J333+'DOE25'!J334+'DOE25'!J335</f>
        <v>127955.20999999999</v>
      </c>
      <c r="G31" s="53">
        <f>'DOE25'!K290+'DOE25'!K309+'DOE25'!K328+'DOE25'!K333+'DOE25'!K334+'DOE25'!K335</f>
        <v>25833.989999999998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16061268.510000004</v>
      </c>
      <c r="E33" s="246">
        <f>SUM(E5:E31)</f>
        <v>591386.74</v>
      </c>
      <c r="F33" s="246">
        <f>SUM(F5:F31)</f>
        <v>382294.99</v>
      </c>
      <c r="G33" s="246">
        <f>SUM(G5:G31)</f>
        <v>78006.080000000016</v>
      </c>
      <c r="H33" s="246">
        <f>SUM(H5:H31)</f>
        <v>765650</v>
      </c>
    </row>
    <row r="35" spans="2:8" ht="12" thickBot="1" x14ac:dyDescent="0.25">
      <c r="B35" s="253" t="s">
        <v>841</v>
      </c>
      <c r="D35" s="254">
        <f>E33</f>
        <v>591386.74</v>
      </c>
      <c r="E35" s="249"/>
    </row>
    <row r="36" spans="2:8" ht="12" thickTop="1" x14ac:dyDescent="0.2">
      <c r="B36" t="s">
        <v>809</v>
      </c>
      <c r="D36" s="20">
        <f>D33</f>
        <v>16061268.510000004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63" activePane="bottomLeft" state="frozen"/>
      <selection activeCell="F46" sqref="F46"/>
      <selection pane="bottomLeft" activeCell="H79" sqref="H7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Newport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770578.40000000014</v>
      </c>
      <c r="D8" s="95">
        <f>'DOE25'!G9</f>
        <v>200</v>
      </c>
      <c r="E8" s="95">
        <f>'DOE25'!H9</f>
        <v>0</v>
      </c>
      <c r="F8" s="95">
        <f>'DOE25'!I9</f>
        <v>0</v>
      </c>
      <c r="G8" s="95">
        <f>'DOE25'!J9</f>
        <v>404826.01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252175.97</v>
      </c>
      <c r="D11" s="95">
        <f>'DOE25'!G12</f>
        <v>-118183.1</v>
      </c>
      <c r="E11" s="95">
        <f>'DOE25'!H12</f>
        <v>-133992.87000000002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479878.88</v>
      </c>
      <c r="D13" s="95">
        <f>'DOE25'!G14</f>
        <v>127200.98</v>
      </c>
      <c r="E13" s="95">
        <f>'DOE25'!H14</f>
        <v>493030.64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14807.21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1502633.25</v>
      </c>
      <c r="D18" s="41">
        <f>SUM(D8:D17)</f>
        <v>24025.089999999989</v>
      </c>
      <c r="E18" s="41">
        <f>SUM(E8:E17)</f>
        <v>359037.77</v>
      </c>
      <c r="F18" s="41">
        <f>SUM(F8:F17)</f>
        <v>0</v>
      </c>
      <c r="G18" s="41">
        <f>SUM(G8:G17)</f>
        <v>404826.01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18992.22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692372.85999999987</v>
      </c>
      <c r="D23" s="95">
        <f>'DOE25'!G24</f>
        <v>2549.6799999999998</v>
      </c>
      <c r="E23" s="95">
        <f>'DOE25'!H24</f>
        <v>193255.09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4994.75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105972.7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14449.3</v>
      </c>
      <c r="E29" s="95">
        <f>'DOE25'!H30</f>
        <v>146790.46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803340.30999999982</v>
      </c>
      <c r="D31" s="41">
        <f>SUM(D21:D30)</f>
        <v>16998.98</v>
      </c>
      <c r="E31" s="41">
        <f>SUM(E21:E30)</f>
        <v>359037.77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14807.21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-14807.21</v>
      </c>
      <c r="E47" s="95">
        <f>'DOE25'!H48</f>
        <v>0</v>
      </c>
      <c r="F47" s="95">
        <f>'DOE25'!I48</f>
        <v>0</v>
      </c>
      <c r="G47" s="95">
        <f>'DOE25'!J48</f>
        <v>404826.01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7026.11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699292.94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699292.94</v>
      </c>
      <c r="D50" s="41">
        <f>SUM(D34:D49)</f>
        <v>7026.11</v>
      </c>
      <c r="E50" s="41">
        <f>SUM(E34:E49)</f>
        <v>0</v>
      </c>
      <c r="F50" s="41">
        <f>SUM(F34:F49)</f>
        <v>0</v>
      </c>
      <c r="G50" s="41">
        <f>SUM(G34:G49)</f>
        <v>404826.01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1502633.2499999998</v>
      </c>
      <c r="D51" s="41">
        <f>D50+D31</f>
        <v>24025.09</v>
      </c>
      <c r="E51" s="41">
        <f>E50+E31</f>
        <v>359037.77</v>
      </c>
      <c r="F51" s="41">
        <f>F50+F31</f>
        <v>0</v>
      </c>
      <c r="G51" s="41">
        <f>G50+G31</f>
        <v>404826.01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5744128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1611389.51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40818.35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21092.95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1147.3900000000001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117719.34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169650.2</v>
      </c>
      <c r="D61" s="95">
        <f>SUM('DOE25'!G98:G110)</f>
        <v>0</v>
      </c>
      <c r="E61" s="95">
        <f>SUM('DOE25'!H98:H110)</f>
        <v>82414.64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1842951.01</v>
      </c>
      <c r="D62" s="130">
        <f>SUM(D57:D61)</f>
        <v>117719.34</v>
      </c>
      <c r="E62" s="130">
        <f>SUM(E57:E61)</f>
        <v>82414.64</v>
      </c>
      <c r="F62" s="130">
        <f>SUM(F57:F61)</f>
        <v>0</v>
      </c>
      <c r="G62" s="130">
        <f>SUM(G57:G61)</f>
        <v>1147.3900000000001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7587079.0099999998</v>
      </c>
      <c r="D63" s="22">
        <f>D56+D62</f>
        <v>117719.34</v>
      </c>
      <c r="E63" s="22">
        <f>E56+E62</f>
        <v>82414.64</v>
      </c>
      <c r="F63" s="22">
        <f>F56+F62</f>
        <v>0</v>
      </c>
      <c r="G63" s="22">
        <f>G56+G62</f>
        <v>1147.3900000000001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6596332.7400000002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962443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5574.16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7564349.9000000004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339729.59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240781.08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37929.589999999997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89600</v>
      </c>
      <c r="D77" s="95">
        <f>SUM('DOE25'!G131:G135)</f>
        <v>5377.08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708040.26</v>
      </c>
      <c r="D78" s="130">
        <f>SUM(D72:D77)</f>
        <v>5377.08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8272390.1600000001</v>
      </c>
      <c r="D81" s="130">
        <f>SUM(D79:D80)+D78+D70</f>
        <v>5377.08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68259.7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275866.46000000002</v>
      </c>
      <c r="D88" s="95">
        <f>SUM('DOE25'!G153:G161)</f>
        <v>247600.27</v>
      </c>
      <c r="E88" s="95">
        <f>SUM('DOE25'!H153:H161)</f>
        <v>1253462.71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344126.16000000003</v>
      </c>
      <c r="D91" s="131">
        <f>SUM(D85:D90)</f>
        <v>247600.27</v>
      </c>
      <c r="E91" s="131">
        <f>SUM(E85:E90)</f>
        <v>1253462.71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20000</v>
      </c>
      <c r="E96" s="95">
        <f>'DOE25'!H179</f>
        <v>18094.02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20000</v>
      </c>
      <c r="E103" s="86">
        <f>SUM(E93:E102)</f>
        <v>18094.02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759</v>
      </c>
      <c r="C104" s="86">
        <f>C63+C81+C91+C103</f>
        <v>16203595.33</v>
      </c>
      <c r="D104" s="86">
        <f>D63+D81+D91+D103</f>
        <v>390696.69</v>
      </c>
      <c r="E104" s="86">
        <f>E63+E81+E91+E103</f>
        <v>1353971.3699999999</v>
      </c>
      <c r="F104" s="86">
        <f>F63+F81+F91+F103</f>
        <v>0</v>
      </c>
      <c r="G104" s="86">
        <f>G63+G81+G103</f>
        <v>101147.39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4607439.8600000003</v>
      </c>
      <c r="D109" s="24" t="s">
        <v>286</v>
      </c>
      <c r="E109" s="95">
        <f>('DOE25'!L276)+('DOE25'!L295)+('DOE25'!L314)</f>
        <v>461459.06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3394541.62</v>
      </c>
      <c r="D110" s="24" t="s">
        <v>286</v>
      </c>
      <c r="E110" s="95">
        <f>('DOE25'!L277)+('DOE25'!L296)+('DOE25'!L315)</f>
        <v>391697.32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650667.27999999991</v>
      </c>
      <c r="D111" s="24" t="s">
        <v>286</v>
      </c>
      <c r="E111" s="95">
        <f>('DOE25'!L278)+('DOE25'!L297)+('DOE25'!L316)</f>
        <v>71844.439999999988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291782.94999999995</v>
      </c>
      <c r="D112" s="24" t="s">
        <v>286</v>
      </c>
      <c r="E112" s="95">
        <f>+('DOE25'!L279)+('DOE25'!L298)+('DOE25'!L317)</f>
        <v>32083.9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47919.08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8944431.709999999</v>
      </c>
      <c r="D115" s="86">
        <f>SUM(D109:D114)</f>
        <v>0</v>
      </c>
      <c r="E115" s="86">
        <f>SUM(E109:E114)</f>
        <v>1005003.7999999999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1526170.63</v>
      </c>
      <c r="D118" s="24" t="s">
        <v>286</v>
      </c>
      <c r="E118" s="95">
        <f>+('DOE25'!L281)+('DOE25'!L300)+('DOE25'!L319)</f>
        <v>228591.75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843955.28</v>
      </c>
      <c r="D119" s="24" t="s">
        <v>286</v>
      </c>
      <c r="E119" s="95">
        <f>+('DOE25'!L282)+('DOE25'!L301)+('DOE25'!L320)</f>
        <v>11200.960000000001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483510.02</v>
      </c>
      <c r="D120" s="24" t="s">
        <v>286</v>
      </c>
      <c r="E120" s="95">
        <f>+('DOE25'!L283)+('DOE25'!L302)+('DOE25'!L321)</f>
        <v>64104.14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756123.62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510317.51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1366160.02</v>
      </c>
      <c r="D123" s="24" t="s">
        <v>286</v>
      </c>
      <c r="E123" s="95">
        <f>+('DOE25'!L286)+('DOE25'!L305)+('DOE25'!L324)</f>
        <v>1099.72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920518.7</v>
      </c>
      <c r="D124" s="24" t="s">
        <v>286</v>
      </c>
      <c r="E124" s="95">
        <f>+('DOE25'!L287)+('DOE25'!L306)+('DOE25'!L325)</f>
        <v>43971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385170.57999999996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6406755.7800000003</v>
      </c>
      <c r="D128" s="86">
        <f>SUM(D118:D127)</f>
        <v>385170.57999999996</v>
      </c>
      <c r="E128" s="86">
        <f>SUM(E118:E127)</f>
        <v>348967.56999999995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510000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255650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18094.02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100790.12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357.27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-1147.3899999999994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903744.02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16254931.509999998</v>
      </c>
      <c r="D145" s="86">
        <f>(D115+D128+D144)</f>
        <v>385170.57999999996</v>
      </c>
      <c r="E145" s="86">
        <f>(E115+E128+E144)</f>
        <v>1353971.3699999999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08/15/2007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08/5/2027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10156100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5570000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5570000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5060000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5060000</v>
      </c>
    </row>
    <row r="160" spans="1:9" x14ac:dyDescent="0.2">
      <c r="A160" s="22" t="s">
        <v>36</v>
      </c>
      <c r="B160" s="137">
        <f>'DOE25'!F499</f>
        <v>903276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903276</v>
      </c>
    </row>
    <row r="161" spans="1:7" x14ac:dyDescent="0.2">
      <c r="A161" s="22" t="s">
        <v>37</v>
      </c>
      <c r="B161" s="137">
        <f>'DOE25'!F500</f>
        <v>5963276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5963276</v>
      </c>
    </row>
    <row r="162" spans="1:7" x14ac:dyDescent="0.2">
      <c r="A162" s="22" t="s">
        <v>38</v>
      </c>
      <c r="B162" s="137">
        <f>'DOE25'!F501</f>
        <v>510000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510000</v>
      </c>
    </row>
    <row r="163" spans="1:7" x14ac:dyDescent="0.2">
      <c r="A163" s="22" t="s">
        <v>39</v>
      </c>
      <c r="B163" s="137">
        <f>'DOE25'!F502</f>
        <v>230150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230150</v>
      </c>
    </row>
    <row r="164" spans="1:7" x14ac:dyDescent="0.2">
      <c r="A164" s="22" t="s">
        <v>246</v>
      </c>
      <c r="B164" s="137">
        <f>'DOE25'!F503</f>
        <v>740150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740150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zoomScale="120" zoomScaleNormal="120" workbookViewId="0">
      <selection activeCell="I30" sqref="I3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Newport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13502</v>
      </c>
    </row>
    <row r="5" spans="1:4" x14ac:dyDescent="0.2">
      <c r="B5" t="s">
        <v>698</v>
      </c>
      <c r="C5" s="179">
        <f>IF('DOE25'!G665+'DOE25'!G670=0,0,ROUND('DOE25'!G672,0))</f>
        <v>13423</v>
      </c>
    </row>
    <row r="6" spans="1:4" x14ac:dyDescent="0.2">
      <c r="B6" t="s">
        <v>62</v>
      </c>
      <c r="C6" s="179">
        <f>IF('DOE25'!H665+'DOE25'!H670=0,0,ROUND('DOE25'!H672,0))</f>
        <v>18126</v>
      </c>
    </row>
    <row r="7" spans="1:4" x14ac:dyDescent="0.2">
      <c r="B7" t="s">
        <v>699</v>
      </c>
      <c r="C7" s="179">
        <f>IF('DOE25'!I665+'DOE25'!I670=0,0,ROUND('DOE25'!I672,0))</f>
        <v>15101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5068899</v>
      </c>
      <c r="D10" s="182">
        <f>ROUND((C10/$C$28)*100,1)</f>
        <v>29.4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3786239</v>
      </c>
      <c r="D11" s="182">
        <f>ROUND((C11/$C$28)*100,1)</f>
        <v>22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722512</v>
      </c>
      <c r="D12" s="182">
        <f>ROUND((C12/$C$28)*100,1)</f>
        <v>4.2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323867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1754762</v>
      </c>
      <c r="D15" s="182">
        <f t="shared" ref="D15:D27" si="0">ROUND((C15/$C$28)*100,1)</f>
        <v>10.199999999999999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855156</v>
      </c>
      <c r="D16" s="182">
        <f t="shared" si="0"/>
        <v>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547614</v>
      </c>
      <c r="D17" s="182">
        <f t="shared" si="0"/>
        <v>3.2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756124</v>
      </c>
      <c r="D18" s="182">
        <f t="shared" si="0"/>
        <v>4.4000000000000004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510318</v>
      </c>
      <c r="D19" s="182">
        <f t="shared" si="0"/>
        <v>3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1367260</v>
      </c>
      <c r="D20" s="182">
        <f t="shared" si="0"/>
        <v>7.9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964490</v>
      </c>
      <c r="D21" s="182">
        <f t="shared" si="0"/>
        <v>5.6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47919</v>
      </c>
      <c r="D24" s="182">
        <f t="shared" si="0"/>
        <v>0.3</v>
      </c>
    </row>
    <row r="25" spans="1:4" x14ac:dyDescent="0.2">
      <c r="A25">
        <v>5120</v>
      </c>
      <c r="B25" t="s">
        <v>714</v>
      </c>
      <c r="C25" s="179">
        <f>ROUND('DOE25'!L261+'DOE25'!L342,0)</f>
        <v>255650</v>
      </c>
      <c r="D25" s="182">
        <f t="shared" si="0"/>
        <v>1.5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267451.66000000003</v>
      </c>
      <c r="D27" s="182">
        <f t="shared" si="0"/>
        <v>1.6</v>
      </c>
    </row>
    <row r="28" spans="1:4" x14ac:dyDescent="0.2">
      <c r="B28" s="187" t="s">
        <v>717</v>
      </c>
      <c r="C28" s="180">
        <f>SUM(C10:C27)</f>
        <v>17228261.66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17228261.66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510000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5744128</v>
      </c>
      <c r="D35" s="182">
        <f t="shared" ref="D35:D40" si="1">ROUND((C35/$C$41)*100,1)</f>
        <v>32.299999999999997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1926513.0399999991</v>
      </c>
      <c r="D36" s="182">
        <f t="shared" si="1"/>
        <v>10.8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7558776</v>
      </c>
      <c r="D37" s="182">
        <f t="shared" si="1"/>
        <v>42.5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718992</v>
      </c>
      <c r="D38" s="182">
        <f t="shared" si="1"/>
        <v>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1845189</v>
      </c>
      <c r="D39" s="182">
        <f t="shared" si="1"/>
        <v>10.4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17793598.039999999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Q7" sqref="Q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Newport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 t="s">
        <v>914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F9" sqref="F9:K16"/>
    </sheetView>
  </sheetViews>
  <sheetFormatPr defaultRowHeight="11.25" x14ac:dyDescent="0.2"/>
  <cols>
    <col min="1" max="1" width="43.5" bestFit="1" customWidth="1"/>
    <col min="2" max="2" width="4.5" bestFit="1" customWidth="1"/>
    <col min="3" max="3" width="4.1640625" bestFit="1" customWidth="1"/>
    <col min="4" max="4" width="2.33203125" bestFit="1" customWidth="1"/>
    <col min="5" max="5" width="6.5" bestFit="1" customWidth="1"/>
    <col min="6" max="8" width="14" bestFit="1" customWidth="1"/>
    <col min="9" max="11" width="12.1640625" bestFit="1" customWidth="1"/>
    <col min="12" max="12" width="14" bestFit="1" customWidth="1"/>
  </cols>
  <sheetData>
    <row r="1" spans="1:12" x14ac:dyDescent="0.2">
      <c r="A1" s="55" t="s">
        <v>463</v>
      </c>
      <c r="B1" s="36"/>
      <c r="C1" s="58"/>
      <c r="D1" s="58"/>
      <c r="E1" s="58"/>
      <c r="F1" s="177" t="s">
        <v>687</v>
      </c>
      <c r="G1" s="177" t="s">
        <v>688</v>
      </c>
      <c r="H1" s="177" t="s">
        <v>689</v>
      </c>
      <c r="I1" s="177" t="s">
        <v>690</v>
      </c>
      <c r="J1" s="177" t="s">
        <v>691</v>
      </c>
      <c r="K1" s="177" t="s">
        <v>692</v>
      </c>
      <c r="L1" s="56"/>
    </row>
    <row r="2" spans="1:12" ht="21" x14ac:dyDescent="0.2">
      <c r="A2" s="29" t="s">
        <v>449</v>
      </c>
      <c r="B2" s="3"/>
      <c r="C2" s="3"/>
      <c r="D2" s="3"/>
      <c r="E2" s="3"/>
      <c r="F2" s="103" t="s">
        <v>54</v>
      </c>
      <c r="G2" s="103" t="s">
        <v>55</v>
      </c>
      <c r="H2" s="103" t="s">
        <v>56</v>
      </c>
      <c r="I2" s="103" t="s">
        <v>57</v>
      </c>
      <c r="J2" s="103" t="s">
        <v>58</v>
      </c>
      <c r="K2" s="103" t="s">
        <v>59</v>
      </c>
      <c r="L2" s="103" t="s">
        <v>5</v>
      </c>
    </row>
    <row r="3" spans="1:12" x14ac:dyDescent="0.2">
      <c r="A3" s="30" t="s">
        <v>529</v>
      </c>
      <c r="B3" s="3"/>
      <c r="C3" s="3"/>
      <c r="D3" s="3"/>
      <c r="E3" s="3"/>
      <c r="F3" s="24" t="s">
        <v>286</v>
      </c>
      <c r="G3" s="24" t="s">
        <v>286</v>
      </c>
      <c r="H3" s="24" t="s">
        <v>286</v>
      </c>
      <c r="I3" s="24" t="s">
        <v>286</v>
      </c>
      <c r="J3" s="24" t="s">
        <v>286</v>
      </c>
      <c r="K3" s="24" t="s">
        <v>286</v>
      </c>
      <c r="L3" s="24" t="s">
        <v>286</v>
      </c>
    </row>
    <row r="4" spans="1:12" x14ac:dyDescent="0.2">
      <c r="A4" s="1" t="s">
        <v>436</v>
      </c>
      <c r="B4" s="2" t="s">
        <v>339</v>
      </c>
      <c r="C4" s="2" t="s">
        <v>288</v>
      </c>
      <c r="D4" s="2" t="s">
        <v>429</v>
      </c>
      <c r="E4" s="6">
        <v>1100</v>
      </c>
      <c r="F4" s="18">
        <f>1225611.34+156761.02</f>
        <v>1382372.36</v>
      </c>
      <c r="G4" s="18">
        <f>653091.13+31813.11</f>
        <v>684904.24</v>
      </c>
      <c r="H4" s="18"/>
      <c r="I4" s="18">
        <v>50839.11</v>
      </c>
      <c r="J4" s="18">
        <v>1274.92</v>
      </c>
      <c r="K4" s="18">
        <v>503.12</v>
      </c>
      <c r="L4" s="19">
        <f>SUM(F4:K4)</f>
        <v>2119893.75</v>
      </c>
    </row>
    <row r="5" spans="1:12" x14ac:dyDescent="0.2">
      <c r="A5" s="1" t="s">
        <v>437</v>
      </c>
      <c r="B5" s="2" t="s">
        <v>339</v>
      </c>
      <c r="C5" s="2" t="s">
        <v>289</v>
      </c>
      <c r="D5" s="2" t="s">
        <v>429</v>
      </c>
      <c r="E5" s="6">
        <v>1200</v>
      </c>
      <c r="F5" s="18">
        <f>729155.65+13756.83</f>
        <v>742912.48</v>
      </c>
      <c r="G5" s="18">
        <f>274338.42+1266.36+5766.43</f>
        <v>281371.20999999996</v>
      </c>
      <c r="H5" s="18">
        <f>228552.5+42463.86</f>
        <v>271016.36</v>
      </c>
      <c r="I5" s="18">
        <f>960.04+61.92</f>
        <v>1021.9599999999999</v>
      </c>
      <c r="J5" s="18">
        <v>1677</v>
      </c>
      <c r="K5" s="18">
        <v>47.88</v>
      </c>
      <c r="L5" s="19">
        <f>SUM(F5:K5)</f>
        <v>1298046.8899999997</v>
      </c>
    </row>
    <row r="6" spans="1:12" x14ac:dyDescent="0.2">
      <c r="A6" s="1" t="s">
        <v>438</v>
      </c>
      <c r="B6" s="2" t="s">
        <v>339</v>
      </c>
      <c r="C6" s="2" t="s">
        <v>290</v>
      </c>
      <c r="D6" s="2" t="s">
        <v>429</v>
      </c>
      <c r="E6" s="6">
        <v>1300</v>
      </c>
      <c r="F6" s="18"/>
      <c r="G6" s="18"/>
      <c r="H6" s="18"/>
      <c r="I6" s="18"/>
      <c r="J6" s="18"/>
      <c r="K6" s="18"/>
      <c r="L6" s="19">
        <f>SUM(F6:K6)</f>
        <v>0</v>
      </c>
    </row>
    <row r="7" spans="1:12" x14ac:dyDescent="0.2">
      <c r="A7" s="1" t="s">
        <v>439</v>
      </c>
      <c r="B7" s="2" t="s">
        <v>339</v>
      </c>
      <c r="C7" s="2" t="s">
        <v>291</v>
      </c>
      <c r="D7" s="2" t="s">
        <v>429</v>
      </c>
      <c r="E7" s="6">
        <v>1400</v>
      </c>
      <c r="F7" s="18">
        <v>9728.1299999999992</v>
      </c>
      <c r="G7" s="18">
        <v>2449.7600000000002</v>
      </c>
      <c r="H7" s="18"/>
      <c r="I7" s="18"/>
      <c r="J7" s="18"/>
      <c r="K7" s="18"/>
      <c r="L7" s="19">
        <f>SUM(F7:K7)</f>
        <v>12177.89</v>
      </c>
    </row>
    <row r="8" spans="1:12" x14ac:dyDescent="0.2">
      <c r="A8" s="30" t="s">
        <v>340</v>
      </c>
      <c r="B8" s="3"/>
      <c r="C8" s="3"/>
      <c r="D8" s="3"/>
      <c r="E8" s="6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</row>
    <row r="9" spans="1:12" x14ac:dyDescent="0.2">
      <c r="A9" s="1" t="s">
        <v>440</v>
      </c>
      <c r="B9" s="2" t="s">
        <v>339</v>
      </c>
      <c r="C9" s="2" t="s">
        <v>292</v>
      </c>
      <c r="D9" s="2" t="s">
        <v>429</v>
      </c>
      <c r="E9" s="6">
        <v>2100</v>
      </c>
      <c r="F9" s="18">
        <f>401858.88+57683.4</f>
        <v>459542.28</v>
      </c>
      <c r="G9" s="18">
        <f>193887.52+4727.17</f>
        <v>198614.69</v>
      </c>
      <c r="H9" s="18">
        <f>48097.63+38472.09</f>
        <v>86569.72</v>
      </c>
      <c r="I9" s="18">
        <f>1601.29+666.35</f>
        <v>2267.64</v>
      </c>
      <c r="J9" s="18"/>
      <c r="K9" s="18"/>
      <c r="L9" s="19">
        <f t="shared" ref="L9:L15" si="0">SUM(F9:K9)</f>
        <v>746994.33</v>
      </c>
    </row>
    <row r="10" spans="1:12" x14ac:dyDescent="0.2">
      <c r="A10" s="1" t="s">
        <v>441</v>
      </c>
      <c r="B10" s="2" t="s">
        <v>339</v>
      </c>
      <c r="C10" s="2" t="s">
        <v>293</v>
      </c>
      <c r="D10" s="2" t="s">
        <v>429</v>
      </c>
      <c r="E10" s="6">
        <v>2200</v>
      </c>
      <c r="F10" s="18">
        <f>35602+87858.06</f>
        <v>123460.06</v>
      </c>
      <c r="G10" s="18">
        <f>18480+47670.88</f>
        <v>66150.880000000005</v>
      </c>
      <c r="H10" s="18">
        <f>36167.87+21687.8+9216.27</f>
        <v>67071.94</v>
      </c>
      <c r="I10" s="18">
        <v>9541.7099999999991</v>
      </c>
      <c r="J10" s="18">
        <v>22111.85</v>
      </c>
      <c r="K10" s="18">
        <v>3582.5</v>
      </c>
      <c r="L10" s="19">
        <f t="shared" si="0"/>
        <v>291918.94</v>
      </c>
    </row>
    <row r="11" spans="1:12" x14ac:dyDescent="0.2">
      <c r="A11" s="1" t="s">
        <v>442</v>
      </c>
      <c r="B11" s="2" t="s">
        <v>339</v>
      </c>
      <c r="C11" s="2" t="s">
        <v>294</v>
      </c>
      <c r="D11" s="2" t="s">
        <v>429</v>
      </c>
      <c r="E11" s="6">
        <v>2300</v>
      </c>
      <c r="F11" s="18">
        <v>59465.43</v>
      </c>
      <c r="G11" s="18">
        <v>43530.11</v>
      </c>
      <c r="H11" s="18">
        <v>43151.69</v>
      </c>
      <c r="I11" s="18">
        <v>528.21</v>
      </c>
      <c r="J11" s="18">
        <v>827.97</v>
      </c>
      <c r="K11" s="18">
        <v>3510.78</v>
      </c>
      <c r="L11" s="19">
        <f t="shared" si="0"/>
        <v>151014.19</v>
      </c>
    </row>
    <row r="12" spans="1:12" x14ac:dyDescent="0.2">
      <c r="A12" s="1" t="s">
        <v>443</v>
      </c>
      <c r="B12" s="2" t="s">
        <v>339</v>
      </c>
      <c r="C12" s="2" t="s">
        <v>295</v>
      </c>
      <c r="D12" s="2" t="s">
        <v>429</v>
      </c>
      <c r="E12" s="6">
        <v>2400</v>
      </c>
      <c r="F12" s="18">
        <v>198398.57</v>
      </c>
      <c r="G12" s="18">
        <v>71423.199999999997</v>
      </c>
      <c r="H12" s="18">
        <v>4517.47</v>
      </c>
      <c r="I12" s="18"/>
      <c r="J12" s="18">
        <v>757.98</v>
      </c>
      <c r="K12" s="18">
        <v>1915.25</v>
      </c>
      <c r="L12" s="19">
        <f t="shared" si="0"/>
        <v>277012.46999999997</v>
      </c>
    </row>
    <row r="13" spans="1:12" x14ac:dyDescent="0.2">
      <c r="A13" s="1" t="s">
        <v>444</v>
      </c>
      <c r="B13" s="2" t="s">
        <v>339</v>
      </c>
      <c r="C13" s="2" t="s">
        <v>296</v>
      </c>
      <c r="D13" s="2" t="s">
        <v>429</v>
      </c>
      <c r="E13" s="6">
        <v>2500</v>
      </c>
      <c r="F13" s="18">
        <v>57161.14</v>
      </c>
      <c r="G13" s="18">
        <v>32905.370000000003</v>
      </c>
      <c r="H13" s="18">
        <v>49742.559999999998</v>
      </c>
      <c r="I13" s="18">
        <v>6684.38</v>
      </c>
      <c r="J13" s="18"/>
      <c r="K13" s="18">
        <v>3713.1</v>
      </c>
      <c r="L13" s="19">
        <f t="shared" si="0"/>
        <v>150206.55000000002</v>
      </c>
    </row>
    <row r="14" spans="1:12" x14ac:dyDescent="0.2">
      <c r="A14" s="1" t="s">
        <v>445</v>
      </c>
      <c r="B14" s="2" t="s">
        <v>339</v>
      </c>
      <c r="C14" s="2" t="s">
        <v>297</v>
      </c>
      <c r="D14" s="2" t="s">
        <v>429</v>
      </c>
      <c r="E14" s="6">
        <v>2600</v>
      </c>
      <c r="F14" s="18">
        <f>71516.33+24556.83+4392.72</f>
        <v>100465.88</v>
      </c>
      <c r="G14" s="18">
        <f>50242+12233.87+3016.07</f>
        <v>65491.94</v>
      </c>
      <c r="H14" s="18">
        <f>181919.46+2892.3+37410.83</f>
        <v>222222.58999999997</v>
      </c>
      <c r="I14" s="18">
        <f>96556.61+14699.12-2962.22</f>
        <v>108293.51</v>
      </c>
      <c r="J14" s="18">
        <f>608.38+4692.2+1324.56</f>
        <v>6625.1399999999994</v>
      </c>
      <c r="K14" s="18"/>
      <c r="L14" s="19">
        <f t="shared" si="0"/>
        <v>503099.06</v>
      </c>
    </row>
    <row r="15" spans="1:12" x14ac:dyDescent="0.2">
      <c r="A15" s="1" t="s">
        <v>446</v>
      </c>
      <c r="B15" s="2" t="s">
        <v>339</v>
      </c>
      <c r="C15" s="2" t="s">
        <v>298</v>
      </c>
      <c r="D15" s="2" t="s">
        <v>429</v>
      </c>
      <c r="E15" s="6">
        <v>2700</v>
      </c>
      <c r="F15" s="18">
        <f>4304.88+261.92+154209.95</f>
        <v>158776.75</v>
      </c>
      <c r="G15" s="18">
        <f>517.83+33.63+31669.07</f>
        <v>32220.53</v>
      </c>
      <c r="H15" s="18">
        <f>56593.5+47873.11</f>
        <v>104466.61</v>
      </c>
      <c r="I15" s="18">
        <v>22085.45</v>
      </c>
      <c r="J15" s="18">
        <v>42792.58</v>
      </c>
      <c r="K15" s="18"/>
      <c r="L15" s="19">
        <f t="shared" si="0"/>
        <v>360341.92000000004</v>
      </c>
    </row>
    <row r="16" spans="1:12" x14ac:dyDescent="0.2">
      <c r="A16" s="1" t="s">
        <v>447</v>
      </c>
      <c r="B16" s="2" t="s">
        <v>339</v>
      </c>
      <c r="C16" s="2" t="s">
        <v>341</v>
      </c>
      <c r="D16" s="2" t="s">
        <v>429</v>
      </c>
      <c r="E16" s="6">
        <v>2800</v>
      </c>
      <c r="F16" s="18"/>
      <c r="G16" s="18"/>
      <c r="H16" s="18"/>
      <c r="I16" s="18"/>
      <c r="J16" s="18"/>
      <c r="K16" s="18"/>
      <c r="L16" s="19">
        <f>SUM(F16:K16)</f>
        <v>0</v>
      </c>
    </row>
    <row r="17" spans="1:12" ht="12" thickBot="1" x14ac:dyDescent="0.25">
      <c r="A17" s="1" t="s">
        <v>448</v>
      </c>
      <c r="B17" s="2" t="s">
        <v>339</v>
      </c>
      <c r="C17" s="2" t="s">
        <v>342</v>
      </c>
      <c r="D17" s="2" t="s">
        <v>429</v>
      </c>
      <c r="E17" s="6">
        <v>2900</v>
      </c>
      <c r="F17" s="24" t="s">
        <v>286</v>
      </c>
      <c r="G17" s="24" t="s">
        <v>286</v>
      </c>
      <c r="H17" s="24" t="s">
        <v>286</v>
      </c>
      <c r="I17" s="24" t="s">
        <v>286</v>
      </c>
      <c r="J17" s="24" t="s">
        <v>286</v>
      </c>
      <c r="K17" s="24" t="s">
        <v>286</v>
      </c>
      <c r="L17" s="24" t="s">
        <v>286</v>
      </c>
    </row>
    <row r="18" spans="1:12" ht="12" thickTop="1" x14ac:dyDescent="0.2">
      <c r="A18" s="38" t="s">
        <v>417</v>
      </c>
      <c r="B18" s="39" t="s">
        <v>339</v>
      </c>
      <c r="C18" s="39" t="s">
        <v>343</v>
      </c>
      <c r="D18" s="39" t="s">
        <v>429</v>
      </c>
      <c r="E18" s="39"/>
      <c r="F18" s="41" t="e">
        <f t="shared" ref="F18" si="1">SUM(#REF!)</f>
        <v>#REF!</v>
      </c>
      <c r="G18" s="41" t="e">
        <f t="shared" ref="G18" si="2">SUM(#REF!)</f>
        <v>#REF!</v>
      </c>
      <c r="H18" s="41" t="e">
        <f t="shared" ref="H18" si="3">SUM(#REF!)</f>
        <v>#REF!</v>
      </c>
      <c r="I18" s="41" t="e">
        <f t="shared" ref="I18" si="4">SUM(#REF!)</f>
        <v>#REF!</v>
      </c>
      <c r="J18" s="41" t="e">
        <f t="shared" ref="J18" si="5">SUM(#REF!)</f>
        <v>#REF!</v>
      </c>
      <c r="K18" s="41" t="e">
        <f t="shared" ref="K18" si="6">SUM(#REF!)</f>
        <v>#REF!</v>
      </c>
      <c r="L18" s="41" t="e">
        <f t="shared" ref="L18" si="7">SUM(#REF!)</f>
        <v>#REF!</v>
      </c>
    </row>
    <row r="19" spans="1:12" x14ac:dyDescent="0.2">
      <c r="A19" s="55" t="s">
        <v>463</v>
      </c>
      <c r="B19" s="36"/>
      <c r="C19" s="36"/>
      <c r="D19" s="36"/>
      <c r="E19" s="36"/>
      <c r="F19" s="177" t="s">
        <v>687</v>
      </c>
      <c r="G19" s="177" t="s">
        <v>688</v>
      </c>
      <c r="H19" s="177" t="s">
        <v>689</v>
      </c>
      <c r="I19" s="177" t="s">
        <v>690</v>
      </c>
      <c r="J19" s="177" t="s">
        <v>691</v>
      </c>
      <c r="K19" s="177" t="s">
        <v>692</v>
      </c>
      <c r="L19" s="67"/>
    </row>
    <row r="20" spans="1:12" ht="21" x14ac:dyDescent="0.2">
      <c r="A20" s="29" t="s">
        <v>450</v>
      </c>
      <c r="B20" s="7"/>
      <c r="C20" s="7"/>
      <c r="D20" s="7"/>
      <c r="E20" s="7"/>
      <c r="F20" s="103" t="s">
        <v>54</v>
      </c>
      <c r="G20" s="103" t="s">
        <v>55</v>
      </c>
      <c r="H20" s="103" t="s">
        <v>56</v>
      </c>
      <c r="I20" s="103" t="s">
        <v>57</v>
      </c>
      <c r="J20" s="103" t="s">
        <v>58</v>
      </c>
      <c r="K20" s="103" t="s">
        <v>59</v>
      </c>
      <c r="L20" s="103" t="s">
        <v>5</v>
      </c>
    </row>
    <row r="21" spans="1:12" x14ac:dyDescent="0.2">
      <c r="A21" s="30" t="s">
        <v>529</v>
      </c>
      <c r="B21" s="3"/>
      <c r="C21" s="3"/>
      <c r="D21" s="3"/>
      <c r="E21" s="3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</row>
    <row r="22" spans="1:12" x14ac:dyDescent="0.2">
      <c r="A22" s="1" t="s">
        <v>436</v>
      </c>
      <c r="B22" s="2" t="s">
        <v>344</v>
      </c>
      <c r="C22" s="2" t="s">
        <v>288</v>
      </c>
      <c r="D22" s="2" t="s">
        <v>429</v>
      </c>
      <c r="E22" s="6">
        <v>1100</v>
      </c>
      <c r="F22" s="18">
        <f>704456.74+29040.52</f>
        <v>733497.26</v>
      </c>
      <c r="G22" s="18">
        <f>363734.77+16276.47</f>
        <v>380011.24</v>
      </c>
      <c r="H22" s="18"/>
      <c r="I22" s="18">
        <v>24492.71</v>
      </c>
      <c r="J22" s="18">
        <v>1648.37</v>
      </c>
      <c r="K22" s="18">
        <v>240</v>
      </c>
      <c r="L22" s="19">
        <f>SUM(F22:K22)</f>
        <v>1139889.58</v>
      </c>
    </row>
    <row r="23" spans="1:12" x14ac:dyDescent="0.2">
      <c r="A23" s="1" t="s">
        <v>437</v>
      </c>
      <c r="B23" s="2" t="s">
        <v>344</v>
      </c>
      <c r="C23" s="2" t="s">
        <v>289</v>
      </c>
      <c r="D23" s="2" t="s">
        <v>429</v>
      </c>
      <c r="E23" s="6">
        <v>1200</v>
      </c>
      <c r="F23" s="18">
        <f>289704.66+7038.38</f>
        <v>296743.03999999998</v>
      </c>
      <c r="G23" s="18">
        <f>81747.93+2950.26</f>
        <v>84698.189999999988</v>
      </c>
      <c r="H23" s="18">
        <f>233026.03+21725.69</f>
        <v>254751.72</v>
      </c>
      <c r="I23" s="18">
        <f>595.06+134.01</f>
        <v>729.06999999999994</v>
      </c>
      <c r="J23" s="18">
        <v>764.99</v>
      </c>
      <c r="K23" s="18">
        <v>24.5</v>
      </c>
      <c r="L23" s="19">
        <f>SUM(F23:K23)</f>
        <v>637711.50999999989</v>
      </c>
    </row>
    <row r="24" spans="1:12" x14ac:dyDescent="0.2">
      <c r="A24" s="1" t="s">
        <v>438</v>
      </c>
      <c r="B24" s="2" t="s">
        <v>344</v>
      </c>
      <c r="C24" s="2" t="s">
        <v>290</v>
      </c>
      <c r="D24" s="2" t="s">
        <v>429</v>
      </c>
      <c r="E24" s="6">
        <v>1300</v>
      </c>
      <c r="F24" s="18"/>
      <c r="G24" s="18"/>
      <c r="H24" s="18"/>
      <c r="I24" s="18"/>
      <c r="J24" s="18"/>
      <c r="K24" s="18"/>
      <c r="L24" s="19">
        <f>SUM(F24:K24)</f>
        <v>0</v>
      </c>
    </row>
    <row r="25" spans="1:12" x14ac:dyDescent="0.2">
      <c r="A25" s="1" t="s">
        <v>439</v>
      </c>
      <c r="B25" s="2" t="s">
        <v>344</v>
      </c>
      <c r="C25" s="2" t="s">
        <v>291</v>
      </c>
      <c r="D25" s="2" t="s">
        <v>429</v>
      </c>
      <c r="E25" s="6">
        <v>1400</v>
      </c>
      <c r="F25" s="18">
        <v>21639.64</v>
      </c>
      <c r="G25" s="18">
        <v>3492.31</v>
      </c>
      <c r="H25" s="18"/>
      <c r="I25" s="18"/>
      <c r="J25" s="18"/>
      <c r="K25" s="18"/>
      <c r="L25" s="19">
        <f>SUM(F25:K25)</f>
        <v>25131.95</v>
      </c>
    </row>
    <row r="26" spans="1:12" x14ac:dyDescent="0.2">
      <c r="A26" s="30" t="s">
        <v>340</v>
      </c>
      <c r="B26" s="1" t="s">
        <v>299</v>
      </c>
      <c r="C26" s="3"/>
      <c r="D26" s="3"/>
      <c r="E26" s="6"/>
      <c r="F26" s="24" t="s">
        <v>286</v>
      </c>
      <c r="G26" s="24" t="s">
        <v>286</v>
      </c>
      <c r="H26" s="24" t="s">
        <v>286</v>
      </c>
      <c r="I26" s="24" t="s">
        <v>286</v>
      </c>
      <c r="J26" s="24" t="s">
        <v>286</v>
      </c>
      <c r="K26" s="24" t="s">
        <v>286</v>
      </c>
      <c r="L26" s="24" t="s">
        <v>286</v>
      </c>
    </row>
    <row r="27" spans="1:12" x14ac:dyDescent="0.2">
      <c r="A27" s="1" t="s">
        <v>440</v>
      </c>
      <c r="B27" s="2" t="s">
        <v>344</v>
      </c>
      <c r="C27" s="2" t="s">
        <v>292</v>
      </c>
      <c r="D27" s="2" t="s">
        <v>429</v>
      </c>
      <c r="E27" s="6">
        <v>2100</v>
      </c>
      <c r="F27" s="18">
        <f>71373.78+29512.44</f>
        <v>100886.22</v>
      </c>
      <c r="G27" s="18">
        <f>50264.46+2418.55</f>
        <v>52683.01</v>
      </c>
      <c r="H27" s="18">
        <f>10000+19683.4</f>
        <v>29683.4</v>
      </c>
      <c r="I27" s="18">
        <v>340.93</v>
      </c>
      <c r="J27" s="18"/>
      <c r="K27" s="18"/>
      <c r="L27" s="19">
        <f t="shared" ref="L27:L33" si="8">SUM(F27:K27)</f>
        <v>183593.56</v>
      </c>
    </row>
    <row r="28" spans="1:12" x14ac:dyDescent="0.2">
      <c r="A28" s="1" t="s">
        <v>441</v>
      </c>
      <c r="B28" s="2" t="s">
        <v>344</v>
      </c>
      <c r="C28" s="2" t="s">
        <v>293</v>
      </c>
      <c r="D28" s="2" t="s">
        <v>429</v>
      </c>
      <c r="E28" s="6">
        <v>2200</v>
      </c>
      <c r="F28" s="18">
        <f>87858.06+44950.64</f>
        <v>132808.70000000001</v>
      </c>
      <c r="G28" s="18">
        <f>24389.75+4715.3</f>
        <v>29105.05</v>
      </c>
      <c r="H28" s="18">
        <f>5872.27+11096.1</f>
        <v>16968.370000000003</v>
      </c>
      <c r="I28" s="18"/>
      <c r="J28" s="18">
        <v>29700</v>
      </c>
      <c r="K28" s="18">
        <v>330</v>
      </c>
      <c r="L28" s="19">
        <f t="shared" si="8"/>
        <v>208912.12</v>
      </c>
    </row>
    <row r="29" spans="1:12" x14ac:dyDescent="0.2">
      <c r="A29" s="1" t="s">
        <v>442</v>
      </c>
      <c r="B29" s="2" t="s">
        <v>344</v>
      </c>
      <c r="C29" s="2" t="s">
        <v>294</v>
      </c>
      <c r="D29" s="2" t="s">
        <v>429</v>
      </c>
      <c r="E29" s="6">
        <v>2300</v>
      </c>
      <c r="F29" s="18">
        <f>59465.43+116227.91</f>
        <v>175693.34</v>
      </c>
      <c r="G29" s="18">
        <v>22271.22</v>
      </c>
      <c r="H29" s="18">
        <v>22077.61</v>
      </c>
      <c r="I29" s="18"/>
      <c r="J29" s="18"/>
      <c r="K29" s="18">
        <v>1796.21</v>
      </c>
      <c r="L29" s="19">
        <f t="shared" si="8"/>
        <v>221838.37999999998</v>
      </c>
    </row>
    <row r="30" spans="1:12" x14ac:dyDescent="0.2">
      <c r="A30" s="1" t="s">
        <v>443</v>
      </c>
      <c r="B30" s="2" t="s">
        <v>344</v>
      </c>
      <c r="C30" s="2" t="s">
        <v>295</v>
      </c>
      <c r="D30" s="2" t="s">
        <v>429</v>
      </c>
      <c r="E30" s="6">
        <v>2400</v>
      </c>
      <c r="F30" s="18">
        <v>31499.5</v>
      </c>
      <c r="G30" s="18">
        <v>18059.740000000002</v>
      </c>
      <c r="H30" s="18"/>
      <c r="I30" s="18"/>
      <c r="J30" s="18"/>
      <c r="K30" s="18"/>
      <c r="L30" s="19">
        <f t="shared" si="8"/>
        <v>49559.240000000005</v>
      </c>
    </row>
    <row r="31" spans="1:12" x14ac:dyDescent="0.2">
      <c r="A31" s="1" t="s">
        <v>444</v>
      </c>
      <c r="B31" s="2" t="s">
        <v>344</v>
      </c>
      <c r="C31" s="2" t="s">
        <v>296</v>
      </c>
      <c r="D31" s="2" t="s">
        <v>429</v>
      </c>
      <c r="E31" s="6">
        <v>2500</v>
      </c>
      <c r="F31" s="18">
        <f>57161.14+29245.24</f>
        <v>86406.38</v>
      </c>
      <c r="G31" s="18">
        <v>16835.310000000001</v>
      </c>
      <c r="H31" s="18">
        <v>25509.68</v>
      </c>
      <c r="I31" s="18">
        <v>3419.9</v>
      </c>
      <c r="J31" s="18">
        <v>1899.73</v>
      </c>
      <c r="K31" s="4"/>
      <c r="L31" s="19">
        <f>SUM(F31:J31)</f>
        <v>134071</v>
      </c>
    </row>
    <row r="32" spans="1:12" x14ac:dyDescent="0.2">
      <c r="A32" s="1" t="s">
        <v>445</v>
      </c>
      <c r="B32" s="2" t="s">
        <v>344</v>
      </c>
      <c r="C32" s="2" t="s">
        <v>297</v>
      </c>
      <c r="D32" s="2" t="s">
        <v>429</v>
      </c>
      <c r="E32" s="6">
        <v>2600</v>
      </c>
      <c r="F32" s="18">
        <f>12563.96+2247.44</f>
        <v>14811.4</v>
      </c>
      <c r="G32" s="18">
        <f>6259.18+15431</f>
        <v>21690.18</v>
      </c>
      <c r="H32" s="18">
        <f>3414.97+1479.78+17140.42</f>
        <v>22035.17</v>
      </c>
      <c r="I32" s="18">
        <f>7513.88-1515.55</f>
        <v>5998.33</v>
      </c>
      <c r="J32" s="18">
        <f>169.99+2400.66+677.68</f>
        <v>3248.3299999999995</v>
      </c>
      <c r="K32" s="18"/>
      <c r="L32" s="19">
        <f t="shared" si="8"/>
        <v>67783.41</v>
      </c>
    </row>
    <row r="33" spans="1:12" x14ac:dyDescent="0.2">
      <c r="A33" s="1" t="s">
        <v>446</v>
      </c>
      <c r="B33" s="2" t="s">
        <v>344</v>
      </c>
      <c r="C33" s="2" t="s">
        <v>298</v>
      </c>
      <c r="D33" s="2" t="s">
        <v>429</v>
      </c>
      <c r="E33" s="6">
        <v>2700</v>
      </c>
      <c r="F33" s="18">
        <f>2374.27+78898.11</f>
        <v>81272.38</v>
      </c>
      <c r="G33" s="18">
        <f>389.94+16202.78</f>
        <v>16592.72</v>
      </c>
      <c r="H33" s="18">
        <f>11861.04+24493.22</f>
        <v>36354.26</v>
      </c>
      <c r="I33" s="18">
        <v>11299.53</v>
      </c>
      <c r="J33" s="18">
        <v>21893.96</v>
      </c>
      <c r="K33" s="18"/>
      <c r="L33" s="19">
        <f t="shared" si="8"/>
        <v>167412.85</v>
      </c>
    </row>
    <row r="34" spans="1:12" x14ac:dyDescent="0.2">
      <c r="A34" s="1" t="s">
        <v>447</v>
      </c>
      <c r="B34" s="2" t="s">
        <v>344</v>
      </c>
      <c r="C34" s="2" t="s">
        <v>341</v>
      </c>
      <c r="D34" s="2" t="s">
        <v>429</v>
      </c>
      <c r="E34" s="6">
        <v>2800</v>
      </c>
      <c r="F34" s="18"/>
      <c r="G34" s="18"/>
      <c r="H34" s="18"/>
      <c r="I34" s="18"/>
      <c r="J34" s="18"/>
      <c r="K34" s="18"/>
      <c r="L34" s="19">
        <f>SUM(F34:K34)</f>
        <v>0</v>
      </c>
    </row>
    <row r="35" spans="1:12" ht="12" thickBot="1" x14ac:dyDescent="0.25">
      <c r="A35" s="1" t="s">
        <v>448</v>
      </c>
      <c r="B35" s="2" t="s">
        <v>344</v>
      </c>
      <c r="C35" s="2" t="s">
        <v>342</v>
      </c>
      <c r="D35" s="2" t="s">
        <v>429</v>
      </c>
      <c r="E35" s="6">
        <v>2900</v>
      </c>
      <c r="F35" s="24" t="s">
        <v>286</v>
      </c>
      <c r="G35" s="24" t="s">
        <v>286</v>
      </c>
      <c r="H35" s="24" t="s">
        <v>286</v>
      </c>
      <c r="I35" s="24" t="s">
        <v>286</v>
      </c>
      <c r="J35" s="24" t="s">
        <v>286</v>
      </c>
      <c r="K35" s="24" t="s">
        <v>286</v>
      </c>
      <c r="L35" s="24" t="s">
        <v>286</v>
      </c>
    </row>
    <row r="36" spans="1:12" ht="12" thickTop="1" x14ac:dyDescent="0.2">
      <c r="A36" s="38" t="s">
        <v>457</v>
      </c>
      <c r="B36" s="39" t="s">
        <v>344</v>
      </c>
      <c r="C36" s="39" t="s">
        <v>343</v>
      </c>
      <c r="D36" s="39" t="s">
        <v>429</v>
      </c>
      <c r="E36" s="44"/>
      <c r="F36" s="41">
        <f t="shared" ref="F36:L36" si="9">SUM(F22:F35)</f>
        <v>1675257.8599999999</v>
      </c>
      <c r="G36" s="41">
        <f>SUM(G22:G35)</f>
        <v>645438.97000000009</v>
      </c>
      <c r="H36" s="41">
        <f>SUM(H22:H35)</f>
        <v>407380.20999999996</v>
      </c>
      <c r="I36" s="41">
        <f>SUM(I22:I35)</f>
        <v>46280.47</v>
      </c>
      <c r="J36" s="41">
        <f>SUM(J22:J35)</f>
        <v>59155.380000000005</v>
      </c>
      <c r="K36" s="41">
        <f t="shared" si="9"/>
        <v>2390.71</v>
      </c>
      <c r="L36" s="41">
        <f t="shared" si="9"/>
        <v>2835903.6</v>
      </c>
    </row>
    <row r="37" spans="1:12" x14ac:dyDescent="0.2">
      <c r="A37" s="55" t="s">
        <v>463</v>
      </c>
      <c r="B37" s="36"/>
      <c r="C37" s="75"/>
      <c r="D37" s="75"/>
      <c r="E37" s="75"/>
      <c r="F37" s="177" t="s">
        <v>687</v>
      </c>
      <c r="G37" s="177" t="s">
        <v>688</v>
      </c>
      <c r="H37" s="177" t="s">
        <v>689</v>
      </c>
      <c r="I37" s="177" t="s">
        <v>690</v>
      </c>
      <c r="J37" s="177" t="s">
        <v>691</v>
      </c>
      <c r="K37" s="177" t="s">
        <v>692</v>
      </c>
      <c r="L37" s="67"/>
    </row>
    <row r="38" spans="1:12" ht="21" x14ac:dyDescent="0.2">
      <c r="A38" s="29" t="s">
        <v>451</v>
      </c>
      <c r="B38" s="3"/>
      <c r="C38" s="3"/>
      <c r="D38" s="3"/>
      <c r="E38" s="3"/>
      <c r="F38" s="103" t="s">
        <v>54</v>
      </c>
      <c r="G38" s="103" t="s">
        <v>55</v>
      </c>
      <c r="H38" s="103" t="s">
        <v>56</v>
      </c>
      <c r="I38" s="103" t="s">
        <v>57</v>
      </c>
      <c r="J38" s="103" t="s">
        <v>58</v>
      </c>
      <c r="K38" s="103" t="s">
        <v>59</v>
      </c>
      <c r="L38" s="103" t="s">
        <v>5</v>
      </c>
    </row>
    <row r="39" spans="1:12" x14ac:dyDescent="0.2">
      <c r="A39" s="30" t="s">
        <v>195</v>
      </c>
      <c r="B39" s="3"/>
      <c r="C39" s="3"/>
      <c r="D39" s="3"/>
      <c r="E39" s="3"/>
      <c r="F39" s="24" t="s">
        <v>286</v>
      </c>
      <c r="G39" s="24" t="s">
        <v>286</v>
      </c>
      <c r="H39" s="24" t="s">
        <v>286</v>
      </c>
      <c r="I39" s="24" t="s">
        <v>286</v>
      </c>
      <c r="J39" s="24" t="s">
        <v>286</v>
      </c>
      <c r="K39" s="24" t="s">
        <v>286</v>
      </c>
      <c r="L39" s="24" t="s">
        <v>286</v>
      </c>
    </row>
    <row r="40" spans="1:12" x14ac:dyDescent="0.2">
      <c r="A40" s="1" t="s">
        <v>436</v>
      </c>
      <c r="B40" s="2" t="s">
        <v>348</v>
      </c>
      <c r="C40" s="2" t="s">
        <v>288</v>
      </c>
      <c r="D40" s="2" t="s">
        <v>429</v>
      </c>
      <c r="E40" s="6">
        <v>1100</v>
      </c>
      <c r="F40" s="18">
        <f>841511.21+46200.84</f>
        <v>887712.04999999993</v>
      </c>
      <c r="G40" s="18">
        <f>466957.75+8.31+25894.4</f>
        <v>492860.46</v>
      </c>
      <c r="H40" s="18">
        <v>3872.03</v>
      </c>
      <c r="I40" s="18">
        <v>49358.23</v>
      </c>
      <c r="J40" s="18">
        <v>8887.66</v>
      </c>
      <c r="K40" s="18">
        <v>1836.72</v>
      </c>
      <c r="L40" s="19">
        <f>SUM(F40:K40)</f>
        <v>1444527.15</v>
      </c>
    </row>
    <row r="41" spans="1:12" x14ac:dyDescent="0.2">
      <c r="A41" s="1" t="s">
        <v>437</v>
      </c>
      <c r="B41" s="2" t="s">
        <v>348</v>
      </c>
      <c r="C41" s="2" t="s">
        <v>289</v>
      </c>
      <c r="D41" s="2" t="s">
        <v>429</v>
      </c>
      <c r="E41" s="6">
        <v>1200</v>
      </c>
      <c r="F41" s="18">
        <f>344914.74+115820.3+11197.41</f>
        <v>471932.44999999995</v>
      </c>
      <c r="G41" s="18">
        <f>152294.89+24576.72+4693.61</f>
        <v>181565.22</v>
      </c>
      <c r="H41" s="18">
        <f>766985.91+113.47+34563.61</f>
        <v>801662.99</v>
      </c>
      <c r="I41" s="18">
        <f>1252.21+213.19</f>
        <v>1465.4</v>
      </c>
      <c r="J41" s="18">
        <v>538</v>
      </c>
      <c r="K41" s="18">
        <v>38.97</v>
      </c>
      <c r="L41" s="19">
        <f>SUM(F41:K41)</f>
        <v>1457203.0299999998</v>
      </c>
    </row>
    <row r="42" spans="1:12" x14ac:dyDescent="0.2">
      <c r="A42" s="1" t="s">
        <v>438</v>
      </c>
      <c r="B42" s="2" t="s">
        <v>348</v>
      </c>
      <c r="C42" s="2" t="s">
        <v>290</v>
      </c>
      <c r="D42" s="2" t="s">
        <v>429</v>
      </c>
      <c r="E42" s="6">
        <v>1300</v>
      </c>
      <c r="F42" s="18">
        <v>381979.64</v>
      </c>
      <c r="G42" s="18">
        <v>211598.84</v>
      </c>
      <c r="H42" s="18">
        <v>21748.2</v>
      </c>
      <c r="I42" s="18">
        <v>26431.439999999999</v>
      </c>
      <c r="J42" s="18">
        <v>3298.16</v>
      </c>
      <c r="K42" s="18">
        <v>5611</v>
      </c>
      <c r="L42" s="19">
        <f>SUM(F42:K42)</f>
        <v>650667.27999999991</v>
      </c>
    </row>
    <row r="43" spans="1:12" x14ac:dyDescent="0.2">
      <c r="A43" s="1" t="s">
        <v>439</v>
      </c>
      <c r="B43" s="2" t="s">
        <v>348</v>
      </c>
      <c r="C43" s="2" t="s">
        <v>291</v>
      </c>
      <c r="D43" s="2" t="s">
        <v>429</v>
      </c>
      <c r="E43" s="6">
        <v>1400</v>
      </c>
      <c r="F43" s="18">
        <v>135606.88</v>
      </c>
      <c r="G43" s="18">
        <v>40115.68</v>
      </c>
      <c r="H43" s="18">
        <v>48703.25</v>
      </c>
      <c r="I43" s="18">
        <v>9488.5300000000007</v>
      </c>
      <c r="J43" s="18">
        <v>10076.09</v>
      </c>
      <c r="K43" s="18">
        <v>10482.68</v>
      </c>
      <c r="L43" s="19">
        <f>SUM(F43:K43)</f>
        <v>254473.11</v>
      </c>
    </row>
    <row r="44" spans="1:12" x14ac:dyDescent="0.2">
      <c r="A44" s="30" t="s">
        <v>340</v>
      </c>
      <c r="B44" s="3"/>
      <c r="C44" s="23"/>
      <c r="D44" s="3"/>
      <c r="E44" s="6"/>
      <c r="F44" s="24" t="s">
        <v>286</v>
      </c>
      <c r="G44" s="24" t="s">
        <v>286</v>
      </c>
      <c r="H44" s="24" t="s">
        <v>286</v>
      </c>
      <c r="I44" s="24" t="s">
        <v>286</v>
      </c>
      <c r="J44" s="24" t="s">
        <v>286</v>
      </c>
      <c r="K44" s="24" t="s">
        <v>286</v>
      </c>
      <c r="L44" s="24" t="s">
        <v>286</v>
      </c>
    </row>
    <row r="45" spans="1:12" x14ac:dyDescent="0.2">
      <c r="A45" s="1" t="s">
        <v>440</v>
      </c>
      <c r="B45" s="2" t="s">
        <v>348</v>
      </c>
      <c r="C45" s="2" t="s">
        <v>292</v>
      </c>
      <c r="D45" s="2" t="s">
        <v>429</v>
      </c>
      <c r="E45" s="6">
        <v>2100</v>
      </c>
      <c r="F45" s="18">
        <f>277192.87+46951.6</f>
        <v>324144.46999999997</v>
      </c>
      <c r="G45" s="18">
        <f>213327.81+3847.71</f>
        <v>217175.52</v>
      </c>
      <c r="H45" s="18">
        <f>4717.23+31314.49</f>
        <v>36031.72</v>
      </c>
      <c r="I45" s="18">
        <f>8934.32+542.38</f>
        <v>9476.6999999999989</v>
      </c>
      <c r="J45" s="18"/>
      <c r="K45" s="18">
        <v>1579</v>
      </c>
      <c r="L45" s="19">
        <f t="shared" ref="L45:L51" si="10">SUM(F45:K45)</f>
        <v>588407.40999999992</v>
      </c>
    </row>
    <row r="46" spans="1:12" x14ac:dyDescent="0.2">
      <c r="A46" s="1" t="s">
        <v>441</v>
      </c>
      <c r="B46" s="2" t="s">
        <v>348</v>
      </c>
      <c r="C46" s="2" t="s">
        <v>293</v>
      </c>
      <c r="D46" s="2" t="s">
        <v>429</v>
      </c>
      <c r="E46" s="6">
        <v>2200</v>
      </c>
      <c r="F46" s="18">
        <f>89125.27+71512.37</f>
        <v>160637.64000000001</v>
      </c>
      <c r="G46" s="18">
        <f>46082.81+38801.88+7501.62</f>
        <v>92386.31</v>
      </c>
      <c r="H46" s="18">
        <f>60569.66+17652.88</f>
        <v>78222.540000000008</v>
      </c>
      <c r="I46" s="18">
        <v>34077.93</v>
      </c>
      <c r="J46" s="18">
        <v>56962.57</v>
      </c>
      <c r="K46" s="18">
        <v>2963.5</v>
      </c>
      <c r="L46" s="19">
        <f t="shared" si="10"/>
        <v>425250.49</v>
      </c>
    </row>
    <row r="47" spans="1:12" x14ac:dyDescent="0.2">
      <c r="A47" s="1" t="s">
        <v>442</v>
      </c>
      <c r="B47" s="2" t="s">
        <v>348</v>
      </c>
      <c r="C47" s="2" t="s">
        <v>294</v>
      </c>
      <c r="D47" s="2" t="s">
        <v>429</v>
      </c>
      <c r="E47" s="6">
        <v>2300</v>
      </c>
      <c r="F47" s="18">
        <v>94604.11</v>
      </c>
      <c r="G47" s="18">
        <v>35431.480000000003</v>
      </c>
      <c r="H47" s="18">
        <v>35123.47</v>
      </c>
      <c r="I47" s="18"/>
      <c r="J47" s="18"/>
      <c r="K47" s="18">
        <v>2857.61</v>
      </c>
      <c r="L47" s="19">
        <f t="shared" si="10"/>
        <v>168016.66999999998</v>
      </c>
    </row>
    <row r="48" spans="1:12" x14ac:dyDescent="0.2">
      <c r="A48" s="1" t="s">
        <v>443</v>
      </c>
      <c r="B48" s="2" t="s">
        <v>348</v>
      </c>
      <c r="C48" s="2" t="s">
        <v>295</v>
      </c>
      <c r="D48" s="2" t="s">
        <v>429</v>
      </c>
      <c r="E48" s="6">
        <v>2400</v>
      </c>
      <c r="F48" s="18">
        <v>263024.03000000003</v>
      </c>
      <c r="G48" s="18">
        <v>139432.07999999999</v>
      </c>
      <c r="H48" s="18">
        <f>12158.93-3000</f>
        <v>9158.93</v>
      </c>
      <c r="I48" s="18">
        <v>6711.89</v>
      </c>
      <c r="J48" s="18">
        <v>476.88</v>
      </c>
      <c r="K48" s="18">
        <v>7256.38</v>
      </c>
      <c r="L48" s="19">
        <f t="shared" si="10"/>
        <v>426060.19</v>
      </c>
    </row>
    <row r="49" spans="1:12" x14ac:dyDescent="0.2">
      <c r="A49" s="1" t="s">
        <v>444</v>
      </c>
      <c r="B49" s="2" t="s">
        <v>348</v>
      </c>
      <c r="C49" s="2" t="s">
        <v>296</v>
      </c>
      <c r="D49" s="2" t="s">
        <v>429</v>
      </c>
      <c r="E49" s="6">
        <v>2500</v>
      </c>
      <c r="F49" s="18">
        <v>46526.51</v>
      </c>
      <c r="G49" s="18">
        <v>26783.439999999999</v>
      </c>
      <c r="H49" s="18">
        <v>40488.129999999997</v>
      </c>
      <c r="I49" s="18">
        <v>5440.73</v>
      </c>
      <c r="J49" s="18">
        <v>3022.29</v>
      </c>
      <c r="K49" s="18"/>
      <c r="L49" s="19">
        <f t="shared" si="10"/>
        <v>122261.09999999998</v>
      </c>
    </row>
    <row r="50" spans="1:12" x14ac:dyDescent="0.2">
      <c r="A50" s="1" t="s">
        <v>445</v>
      </c>
      <c r="B50" s="2" t="s">
        <v>348</v>
      </c>
      <c r="C50" s="2" t="s">
        <v>297</v>
      </c>
      <c r="D50" s="2" t="s">
        <v>429</v>
      </c>
      <c r="E50" s="6">
        <v>2600</v>
      </c>
      <c r="F50" s="18">
        <f>233916.77+19988.12+3575.47</f>
        <v>257480.36</v>
      </c>
      <c r="G50" s="18">
        <f>119780.78+9957.8+2454.94</f>
        <v>132193.51999999999</v>
      </c>
      <c r="H50" s="18">
        <f>196721.58+2352.21+30450.68</f>
        <v>229524.46999999997</v>
      </c>
      <c r="I50" s="18">
        <f>171998.7+11964.4-2411.12</f>
        <v>181551.98</v>
      </c>
      <c r="J50" s="18">
        <f>2282.77+3819.23+1078.13</f>
        <v>7180.13</v>
      </c>
      <c r="K50" s="18"/>
      <c r="L50" s="19">
        <f t="shared" si="10"/>
        <v>807930.46</v>
      </c>
    </row>
    <row r="51" spans="1:12" x14ac:dyDescent="0.2">
      <c r="A51" s="1" t="s">
        <v>446</v>
      </c>
      <c r="B51" s="2" t="s">
        <v>348</v>
      </c>
      <c r="C51" s="2" t="s">
        <v>298</v>
      </c>
      <c r="D51" s="2" t="s">
        <v>429</v>
      </c>
      <c r="E51" s="6">
        <v>2700</v>
      </c>
      <c r="F51" s="18">
        <f>13745.93+125519.73</f>
        <v>139265.66</v>
      </c>
      <c r="G51" s="18">
        <f>1827.84+25777.15</f>
        <v>27604.99</v>
      </c>
      <c r="H51" s="18">
        <f>130503.4+38966.48</f>
        <v>169469.88</v>
      </c>
      <c r="I51" s="18">
        <v>17976.53</v>
      </c>
      <c r="J51" s="18">
        <v>34831.1</v>
      </c>
      <c r="K51" s="18"/>
      <c r="L51" s="19">
        <f t="shared" si="10"/>
        <v>389148.16000000003</v>
      </c>
    </row>
    <row r="52" spans="1:12" x14ac:dyDescent="0.2">
      <c r="A52" s="1" t="s">
        <v>447</v>
      </c>
      <c r="B52" s="2" t="s">
        <v>348</v>
      </c>
      <c r="C52" s="2" t="s">
        <v>341</v>
      </c>
      <c r="D52" s="2" t="s">
        <v>429</v>
      </c>
      <c r="E52" s="6">
        <v>2800</v>
      </c>
      <c r="F52" s="18"/>
      <c r="G52" s="18"/>
      <c r="H52" s="18"/>
      <c r="I52" s="18"/>
      <c r="J52" s="18"/>
      <c r="K52" s="18"/>
      <c r="L52" s="19">
        <f>SUM(F52:K52)</f>
        <v>0</v>
      </c>
    </row>
    <row r="53" spans="1:12" ht="12" thickBot="1" x14ac:dyDescent="0.25">
      <c r="A53" s="1" t="s">
        <v>448</v>
      </c>
      <c r="B53" s="2" t="s">
        <v>348</v>
      </c>
      <c r="C53" s="2" t="s">
        <v>342</v>
      </c>
      <c r="D53" s="2" t="s">
        <v>429</v>
      </c>
      <c r="E53" s="6">
        <v>2900</v>
      </c>
      <c r="F53" s="24" t="s">
        <v>286</v>
      </c>
      <c r="G53" s="24" t="s">
        <v>286</v>
      </c>
      <c r="H53" s="24" t="s">
        <v>286</v>
      </c>
      <c r="I53" s="24" t="s">
        <v>286</v>
      </c>
      <c r="J53" s="24" t="s">
        <v>286</v>
      </c>
      <c r="K53" s="24" t="s">
        <v>286</v>
      </c>
      <c r="L53" s="24" t="s">
        <v>286</v>
      </c>
    </row>
    <row r="54" spans="1:12" ht="12" thickTop="1" x14ac:dyDescent="0.2">
      <c r="A54" s="38" t="s">
        <v>679</v>
      </c>
      <c r="B54" s="39" t="s">
        <v>348</v>
      </c>
      <c r="C54" s="40">
        <v>14</v>
      </c>
      <c r="D54" s="39" t="s">
        <v>429</v>
      </c>
      <c r="E54" s="40"/>
      <c r="F54" s="41">
        <f t="shared" ref="F54:L54" si="11">SUM(F40:F53)</f>
        <v>3162913.8000000003</v>
      </c>
      <c r="G54" s="41">
        <f t="shared" si="11"/>
        <v>1597147.54</v>
      </c>
      <c r="H54" s="41">
        <f t="shared" si="11"/>
        <v>1474005.6099999999</v>
      </c>
      <c r="I54" s="41">
        <f t="shared" si="11"/>
        <v>341979.3600000001</v>
      </c>
      <c r="J54" s="41">
        <f t="shared" si="11"/>
        <v>125272.88</v>
      </c>
      <c r="K54" s="41">
        <f t="shared" si="11"/>
        <v>32625.860000000004</v>
      </c>
      <c r="L54" s="41">
        <f t="shared" si="11"/>
        <v>6733945.0499999998</v>
      </c>
    </row>
    <row r="55" spans="1:12" x14ac:dyDescent="0.2">
      <c r="A55" s="70"/>
      <c r="B55" s="36"/>
      <c r="C55" s="37"/>
      <c r="D55" s="37"/>
      <c r="E55" s="37"/>
      <c r="F55" s="177" t="s">
        <v>687</v>
      </c>
      <c r="G55" s="177" t="s">
        <v>688</v>
      </c>
      <c r="H55" s="177" t="s">
        <v>689</v>
      </c>
      <c r="I55" s="177" t="s">
        <v>690</v>
      </c>
      <c r="J55" s="177" t="s">
        <v>691</v>
      </c>
      <c r="K55" s="177" t="s">
        <v>692</v>
      </c>
      <c r="L55" s="67"/>
    </row>
    <row r="56" spans="1:12" ht="21" x14ac:dyDescent="0.2">
      <c r="A56" s="29" t="s">
        <v>349</v>
      </c>
      <c r="B56" s="7"/>
      <c r="C56" s="7"/>
      <c r="D56" s="7"/>
      <c r="E56" s="7"/>
      <c r="F56" s="103" t="s">
        <v>54</v>
      </c>
      <c r="G56" s="103" t="s">
        <v>55</v>
      </c>
      <c r="H56" s="103" t="s">
        <v>56</v>
      </c>
      <c r="I56" s="103" t="s">
        <v>57</v>
      </c>
      <c r="J56" s="103" t="s">
        <v>58</v>
      </c>
      <c r="K56" s="103" t="s">
        <v>59</v>
      </c>
      <c r="L56" s="103" t="s">
        <v>5</v>
      </c>
    </row>
    <row r="57" spans="1:12" x14ac:dyDescent="0.2">
      <c r="A57" s="1" t="s">
        <v>654</v>
      </c>
      <c r="B57" s="2" t="s">
        <v>350</v>
      </c>
      <c r="C57" s="2" t="s">
        <v>287</v>
      </c>
      <c r="D57" s="2" t="s">
        <v>429</v>
      </c>
      <c r="E57" s="6">
        <v>1500</v>
      </c>
      <c r="F57" s="18"/>
      <c r="G57" s="18"/>
      <c r="H57" s="18"/>
      <c r="I57" s="18"/>
      <c r="J57" s="18"/>
      <c r="K57" s="18"/>
      <c r="L57" s="19">
        <f t="shared" ref="L57:L62" si="12">SUM(F57:K57)</f>
        <v>0</v>
      </c>
    </row>
    <row r="58" spans="1:12" x14ac:dyDescent="0.2">
      <c r="A58" s="1" t="s">
        <v>351</v>
      </c>
      <c r="B58" s="2" t="s">
        <v>350</v>
      </c>
      <c r="C58" s="2" t="s">
        <v>307</v>
      </c>
      <c r="D58" s="2" t="s">
        <v>429</v>
      </c>
      <c r="E58" s="6">
        <v>1600</v>
      </c>
      <c r="F58" s="18"/>
      <c r="G58" s="18"/>
      <c r="H58" s="18"/>
      <c r="I58" s="18"/>
      <c r="J58" s="18"/>
      <c r="K58" s="18"/>
      <c r="L58" s="19">
        <f t="shared" si="12"/>
        <v>0</v>
      </c>
    </row>
    <row r="59" spans="1:12" x14ac:dyDescent="0.2">
      <c r="A59" s="1" t="s">
        <v>580</v>
      </c>
      <c r="B59" s="2" t="s">
        <v>350</v>
      </c>
      <c r="C59" s="2" t="s">
        <v>313</v>
      </c>
      <c r="D59" s="2" t="s">
        <v>429</v>
      </c>
      <c r="E59" s="6">
        <v>1700</v>
      </c>
      <c r="F59" s="18"/>
      <c r="G59" s="18"/>
      <c r="H59" s="18"/>
      <c r="I59" s="18"/>
      <c r="J59" s="18"/>
      <c r="K59" s="18"/>
      <c r="L59" s="19">
        <f t="shared" si="12"/>
        <v>0</v>
      </c>
    </row>
    <row r="60" spans="1:12" x14ac:dyDescent="0.2">
      <c r="A60" s="1" t="s">
        <v>581</v>
      </c>
      <c r="B60" s="2" t="s">
        <v>350</v>
      </c>
      <c r="C60" s="2" t="s">
        <v>319</v>
      </c>
      <c r="D60" s="2" t="s">
        <v>429</v>
      </c>
      <c r="E60" s="6">
        <v>1800</v>
      </c>
      <c r="F60" s="18"/>
      <c r="G60" s="18"/>
      <c r="H60" s="18"/>
      <c r="I60" s="18"/>
      <c r="J60" s="18"/>
      <c r="K60" s="18"/>
      <c r="L60" s="19">
        <f t="shared" si="12"/>
        <v>0</v>
      </c>
    </row>
    <row r="61" spans="1:12" x14ac:dyDescent="0.2">
      <c r="A61" s="1" t="s">
        <v>389</v>
      </c>
      <c r="B61" s="2" t="s">
        <v>350</v>
      </c>
      <c r="C61" s="2" t="s">
        <v>322</v>
      </c>
      <c r="D61" s="2" t="s">
        <v>429</v>
      </c>
      <c r="E61" s="6">
        <v>2750</v>
      </c>
      <c r="F61" s="18"/>
      <c r="G61" s="18"/>
      <c r="H61" s="18"/>
      <c r="I61" s="18"/>
      <c r="J61" s="18"/>
      <c r="K61" s="18"/>
      <c r="L61" s="19">
        <f t="shared" si="12"/>
        <v>0</v>
      </c>
    </row>
    <row r="62" spans="1:12" ht="12" thickBot="1" x14ac:dyDescent="0.25">
      <c r="A62" s="1" t="s">
        <v>582</v>
      </c>
      <c r="B62" s="2" t="s">
        <v>350</v>
      </c>
      <c r="C62" s="6">
        <v>6</v>
      </c>
      <c r="D62" s="2" t="s">
        <v>429</v>
      </c>
      <c r="E62" s="6">
        <v>4000</v>
      </c>
      <c r="F62" s="18"/>
      <c r="G62" s="18"/>
      <c r="H62" s="18"/>
      <c r="I62" s="18"/>
      <c r="J62" s="18"/>
      <c r="K62" s="18"/>
      <c r="L62" s="19">
        <f t="shared" si="12"/>
        <v>0</v>
      </c>
    </row>
    <row r="63" spans="1:12" ht="12.75" thickTop="1" thickBot="1" x14ac:dyDescent="0.25">
      <c r="A63" s="38" t="s">
        <v>459</v>
      </c>
      <c r="B63" s="40">
        <v>10</v>
      </c>
      <c r="C63" s="40">
        <v>7</v>
      </c>
      <c r="D63" s="39" t="s">
        <v>429</v>
      </c>
      <c r="E63" s="40"/>
      <c r="F63" s="41">
        <f t="shared" ref="F63:K63" si="13">SUM(F57:F62)</f>
        <v>0</v>
      </c>
      <c r="G63" s="41">
        <f t="shared" si="13"/>
        <v>0</v>
      </c>
      <c r="H63" s="41">
        <f t="shared" si="13"/>
        <v>0</v>
      </c>
      <c r="I63" s="41">
        <f t="shared" si="13"/>
        <v>0</v>
      </c>
      <c r="J63" s="41">
        <f t="shared" si="13"/>
        <v>0</v>
      </c>
      <c r="K63" s="41">
        <f t="shared" si="13"/>
        <v>0</v>
      </c>
      <c r="L63" s="41">
        <f>SUM(F63:K63)</f>
        <v>0</v>
      </c>
    </row>
    <row r="64" spans="1:12" ht="12" thickTop="1" x14ac:dyDescent="0.2">
      <c r="A64" s="38" t="s">
        <v>460</v>
      </c>
      <c r="B64" s="40">
        <v>10</v>
      </c>
      <c r="C64" s="40">
        <v>8</v>
      </c>
      <c r="D64" s="39" t="s">
        <v>429</v>
      </c>
      <c r="E64" s="40"/>
      <c r="F64" s="41" t="e">
        <f t="shared" ref="F64:L64" si="14">F18+F36+F54+F63</f>
        <v>#REF!</v>
      </c>
      <c r="G64" s="41" t="e">
        <f t="shared" si="14"/>
        <v>#REF!</v>
      </c>
      <c r="H64" s="41" t="e">
        <f t="shared" si="14"/>
        <v>#REF!</v>
      </c>
      <c r="I64" s="41" t="e">
        <f t="shared" si="14"/>
        <v>#REF!</v>
      </c>
      <c r="J64" s="41" t="e">
        <f t="shared" si="14"/>
        <v>#REF!</v>
      </c>
      <c r="K64" s="41" t="e">
        <f t="shared" si="14"/>
        <v>#REF!</v>
      </c>
      <c r="L64" s="41" t="e">
        <f t="shared" si="14"/>
        <v>#REF!</v>
      </c>
    </row>
    <row r="65" spans="1:12" x14ac:dyDescent="0.2">
      <c r="A65" s="34" t="s">
        <v>352</v>
      </c>
      <c r="B65" s="3"/>
      <c r="C65" s="3"/>
      <c r="D65" s="3"/>
      <c r="E65" s="3"/>
      <c r="F65" s="13"/>
      <c r="G65" s="13"/>
      <c r="H65" s="13"/>
      <c r="I65" s="13"/>
      <c r="J65" s="13"/>
      <c r="K65" s="14" t="s">
        <v>284</v>
      </c>
      <c r="L65" s="14" t="s">
        <v>353</v>
      </c>
    </row>
    <row r="66" spans="1:12" x14ac:dyDescent="0.2">
      <c r="A66" s="30" t="s">
        <v>461</v>
      </c>
      <c r="B66" s="3"/>
      <c r="C66" s="3"/>
      <c r="D66" s="3"/>
      <c r="E66" s="6">
        <v>5100</v>
      </c>
      <c r="F66" s="24" t="s">
        <v>286</v>
      </c>
      <c r="G66" s="24" t="s">
        <v>286</v>
      </c>
      <c r="H66" s="24" t="s">
        <v>286</v>
      </c>
      <c r="I66" s="24" t="s">
        <v>286</v>
      </c>
      <c r="J66" s="24" t="s">
        <v>286</v>
      </c>
      <c r="K66" s="24" t="s">
        <v>286</v>
      </c>
      <c r="L66" s="24" t="s">
        <v>286</v>
      </c>
    </row>
    <row r="67" spans="1:12" x14ac:dyDescent="0.2">
      <c r="A67" s="1" t="s">
        <v>518</v>
      </c>
      <c r="B67" s="2" t="s">
        <v>350</v>
      </c>
      <c r="C67" s="6">
        <v>9</v>
      </c>
      <c r="D67" s="2" t="s">
        <v>429</v>
      </c>
      <c r="E67" s="6">
        <v>5110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18">
        <v>510000</v>
      </c>
      <c r="L67" s="19">
        <f>SUM(F67:K67)</f>
        <v>510000</v>
      </c>
    </row>
    <row r="68" spans="1:12" x14ac:dyDescent="0.2">
      <c r="A68" s="1" t="s">
        <v>530</v>
      </c>
      <c r="B68" s="2" t="s">
        <v>350</v>
      </c>
      <c r="C68" s="6">
        <v>10</v>
      </c>
      <c r="D68" s="2" t="s">
        <v>429</v>
      </c>
      <c r="E68" s="6">
        <v>5120</v>
      </c>
      <c r="F68" s="24" t="s">
        <v>286</v>
      </c>
      <c r="G68" s="24" t="s">
        <v>286</v>
      </c>
      <c r="H68" s="24" t="s">
        <v>286</v>
      </c>
      <c r="I68" s="24" t="s">
        <v>286</v>
      </c>
      <c r="J68" s="24" t="s">
        <v>286</v>
      </c>
      <c r="K68" s="18">
        <v>225650</v>
      </c>
      <c r="L68" s="19">
        <f>SUM(F68:K68)</f>
        <v>225650</v>
      </c>
    </row>
    <row r="69" spans="1:12" x14ac:dyDescent="0.2">
      <c r="A69" s="30" t="s">
        <v>354</v>
      </c>
      <c r="B69" s="3"/>
      <c r="C69" s="3"/>
      <c r="D69" s="3"/>
      <c r="E69" s="6">
        <v>5200</v>
      </c>
      <c r="F69" s="24" t="s">
        <v>286</v>
      </c>
      <c r="G69" s="24" t="s">
        <v>286</v>
      </c>
      <c r="H69" s="24" t="s">
        <v>286</v>
      </c>
      <c r="I69" s="24" t="s">
        <v>286</v>
      </c>
      <c r="J69" s="24" t="s">
        <v>286</v>
      </c>
      <c r="K69" s="24" t="s">
        <v>286</v>
      </c>
      <c r="L69" s="24" t="s">
        <v>286</v>
      </c>
    </row>
    <row r="70" spans="1:12" x14ac:dyDescent="0.2">
      <c r="A70" s="3" t="s">
        <v>531</v>
      </c>
      <c r="B70" s="6">
        <v>10</v>
      </c>
      <c r="C70" s="6">
        <v>11</v>
      </c>
      <c r="D70" s="2" t="s">
        <v>429</v>
      </c>
      <c r="E70" s="6">
        <v>5221</v>
      </c>
      <c r="F70" s="24" t="s">
        <v>286</v>
      </c>
      <c r="G70" s="24" t="s">
        <v>286</v>
      </c>
      <c r="H70" s="24" t="s">
        <v>286</v>
      </c>
      <c r="I70" s="24" t="s">
        <v>286</v>
      </c>
      <c r="J70" s="24" t="s">
        <v>286</v>
      </c>
      <c r="K70" s="18">
        <v>20000</v>
      </c>
      <c r="L70" s="19">
        <f>SUM(F70:K70)</f>
        <v>20000</v>
      </c>
    </row>
    <row r="71" spans="1:12" x14ac:dyDescent="0.2">
      <c r="A71" s="3" t="s">
        <v>599</v>
      </c>
      <c r="B71" s="6">
        <v>10</v>
      </c>
      <c r="C71" s="6">
        <v>12</v>
      </c>
      <c r="D71" s="2" t="s">
        <v>429</v>
      </c>
      <c r="E71" s="6">
        <v>5222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18"/>
      <c r="L71" s="19">
        <f t="shared" ref="L71:L77" si="15">SUM(F71:K71)</f>
        <v>0</v>
      </c>
    </row>
    <row r="72" spans="1:12" x14ac:dyDescent="0.2">
      <c r="A72" s="3" t="s">
        <v>532</v>
      </c>
      <c r="B72" s="6">
        <v>10</v>
      </c>
      <c r="C72" s="6">
        <v>13</v>
      </c>
      <c r="D72" s="2" t="s">
        <v>429</v>
      </c>
      <c r="E72" s="6">
        <v>5230</v>
      </c>
      <c r="F72" s="24" t="s">
        <v>286</v>
      </c>
      <c r="G72" s="24" t="s">
        <v>286</v>
      </c>
      <c r="H72" s="24" t="s">
        <v>286</v>
      </c>
      <c r="I72" s="24" t="s">
        <v>286</v>
      </c>
      <c r="J72" s="24" t="s">
        <v>286</v>
      </c>
      <c r="K72" s="18"/>
      <c r="L72" s="19">
        <f t="shared" si="15"/>
        <v>0</v>
      </c>
    </row>
    <row r="73" spans="1:12" x14ac:dyDescent="0.2">
      <c r="A73" s="3" t="s">
        <v>533</v>
      </c>
      <c r="B73" s="6">
        <v>10</v>
      </c>
      <c r="C73" s="6">
        <v>14</v>
      </c>
      <c r="D73" s="2" t="s">
        <v>429</v>
      </c>
      <c r="E73" s="6">
        <v>5250</v>
      </c>
      <c r="F73" s="24" t="s">
        <v>286</v>
      </c>
      <c r="G73" s="24" t="s">
        <v>286</v>
      </c>
      <c r="H73" s="24" t="s">
        <v>286</v>
      </c>
      <c r="I73" s="24" t="s">
        <v>286</v>
      </c>
      <c r="J73" s="24" t="s">
        <v>286</v>
      </c>
      <c r="K73" s="18">
        <v>100000</v>
      </c>
      <c r="L73" s="19">
        <f t="shared" si="15"/>
        <v>100000</v>
      </c>
    </row>
    <row r="74" spans="1:12" x14ac:dyDescent="0.2">
      <c r="A74" s="27" t="s">
        <v>558</v>
      </c>
      <c r="B74" s="6"/>
      <c r="C74" s="6"/>
      <c r="D74" s="6"/>
      <c r="E74" s="6">
        <v>5300</v>
      </c>
      <c r="F74" s="24" t="s">
        <v>286</v>
      </c>
      <c r="G74" s="24" t="s">
        <v>286</v>
      </c>
      <c r="H74" s="24" t="s">
        <v>286</v>
      </c>
      <c r="I74" s="24" t="s">
        <v>286</v>
      </c>
      <c r="J74" s="24" t="s">
        <v>286</v>
      </c>
      <c r="K74" s="24" t="s">
        <v>286</v>
      </c>
      <c r="L74" s="24" t="s">
        <v>286</v>
      </c>
    </row>
    <row r="75" spans="1:12" x14ac:dyDescent="0.2">
      <c r="A75" s="3" t="s">
        <v>534</v>
      </c>
      <c r="B75" s="6">
        <v>10</v>
      </c>
      <c r="C75" s="6">
        <v>15</v>
      </c>
      <c r="D75" s="2" t="s">
        <v>429</v>
      </c>
      <c r="E75" s="6">
        <v>5310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18"/>
      <c r="L75" s="19">
        <f t="shared" si="15"/>
        <v>0</v>
      </c>
    </row>
    <row r="76" spans="1:12" ht="12" thickBot="1" x14ac:dyDescent="0.25">
      <c r="A76" s="3" t="s">
        <v>535</v>
      </c>
      <c r="B76" s="6">
        <v>10</v>
      </c>
      <c r="C76" s="6">
        <v>16</v>
      </c>
      <c r="D76" s="2" t="s">
        <v>429</v>
      </c>
      <c r="E76" s="6">
        <v>5390</v>
      </c>
      <c r="F76" s="24" t="s">
        <v>286</v>
      </c>
      <c r="G76" s="24" t="s">
        <v>286</v>
      </c>
      <c r="H76" s="24" t="s">
        <v>286</v>
      </c>
      <c r="I76" s="24" t="s">
        <v>286</v>
      </c>
      <c r="J76" s="24" t="s">
        <v>286</v>
      </c>
      <c r="K76" s="18"/>
      <c r="L76" s="19">
        <f t="shared" si="15"/>
        <v>0</v>
      </c>
    </row>
    <row r="77" spans="1:12" ht="12.75" thickTop="1" thickBot="1" x14ac:dyDescent="0.25">
      <c r="A77" s="43" t="s">
        <v>418</v>
      </c>
      <c r="B77" s="40">
        <v>10</v>
      </c>
      <c r="C77" s="40">
        <v>17</v>
      </c>
      <c r="D77" s="39" t="s">
        <v>429</v>
      </c>
      <c r="E77" s="40"/>
      <c r="F77" s="42">
        <f t="shared" ref="F77:K77" si="16">SUM(F67:F76)</f>
        <v>0</v>
      </c>
      <c r="G77" s="42">
        <f t="shared" si="16"/>
        <v>0</v>
      </c>
      <c r="H77" s="42">
        <f t="shared" si="16"/>
        <v>0</v>
      </c>
      <c r="I77" s="42">
        <f t="shared" si="16"/>
        <v>0</v>
      </c>
      <c r="J77" s="42">
        <f t="shared" si="16"/>
        <v>0</v>
      </c>
      <c r="K77" s="42">
        <f t="shared" si="16"/>
        <v>855650</v>
      </c>
      <c r="L77" s="41">
        <f t="shared" si="15"/>
        <v>855650</v>
      </c>
    </row>
    <row r="78" spans="1:12" ht="12" thickTop="1" x14ac:dyDescent="0.2">
      <c r="A78" s="43" t="s">
        <v>462</v>
      </c>
      <c r="B78" s="40">
        <v>10</v>
      </c>
      <c r="C78" s="40">
        <v>18</v>
      </c>
      <c r="D78" s="39" t="s">
        <v>429</v>
      </c>
      <c r="E78" s="40"/>
      <c r="F78" s="42" t="e">
        <f t="shared" ref="F78:L78" si="17">F64+F77</f>
        <v>#REF!</v>
      </c>
      <c r="G78" s="42" t="e">
        <f t="shared" si="17"/>
        <v>#REF!</v>
      </c>
      <c r="H78" s="42" t="e">
        <f t="shared" si="17"/>
        <v>#REF!</v>
      </c>
      <c r="I78" s="42" t="e">
        <f t="shared" si="17"/>
        <v>#REF!</v>
      </c>
      <c r="J78" s="42" t="e">
        <f t="shared" si="17"/>
        <v>#REF!</v>
      </c>
      <c r="K78" s="42" t="e">
        <f t="shared" si="17"/>
        <v>#REF!</v>
      </c>
      <c r="L78" s="42" t="e">
        <f t="shared" si="17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2018-11-30T19:58:55Z</cp:lastPrinted>
  <dcterms:created xsi:type="dcterms:W3CDTF">1997-12-04T19:04:30Z</dcterms:created>
  <dcterms:modified xsi:type="dcterms:W3CDTF">2018-12-03T19:48:27Z</dcterms:modified>
</cp:coreProperties>
</file>