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25305" windowHeight="122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203" i="1" l="1"/>
  <c r="I200" i="1"/>
  <c r="I197" i="1"/>
  <c r="K200" i="1"/>
  <c r="H604" i="1"/>
  <c r="J200" i="1"/>
  <c r="J197" i="1"/>
  <c r="H255" i="1"/>
  <c r="H197" i="1"/>
  <c r="C10" i="12"/>
  <c r="G197" i="1"/>
  <c r="B10" i="12"/>
  <c r="F197" i="1"/>
  <c r="K531" i="1"/>
  <c r="I521" i="1"/>
  <c r="H521" i="1"/>
  <c r="C21" i="12"/>
  <c r="G203" i="1"/>
  <c r="G531" i="1"/>
  <c r="G521" i="1"/>
  <c r="B21" i="12" l="1"/>
  <c r="B20" i="12"/>
  <c r="B11" i="12"/>
  <c r="B12" i="12"/>
  <c r="F29" i="1"/>
  <c r="F9" i="1"/>
  <c r="F531" i="1"/>
  <c r="F521" i="1"/>
  <c r="I202" i="1"/>
  <c r="H208" i="1"/>
  <c r="H207" i="1"/>
  <c r="H204" i="1"/>
  <c r="H203" i="1"/>
  <c r="F203" i="1"/>
  <c r="F202" i="1"/>
  <c r="K283" i="1"/>
  <c r="H159" i="1" l="1"/>
  <c r="H155" i="1"/>
  <c r="H154" i="1"/>
  <c r="J468" i="1"/>
  <c r="F368" i="1"/>
  <c r="F367" i="1"/>
  <c r="I358" i="1"/>
  <c r="F3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E16" i="13" s="1"/>
  <c r="C16" i="13" s="1"/>
  <c r="L227" i="1"/>
  <c r="L245" i="1"/>
  <c r="F5" i="13"/>
  <c r="G5" i="13"/>
  <c r="L197" i="1"/>
  <c r="L198" i="1"/>
  <c r="C110" i="2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C119" i="2" s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9" i="10"/>
  <c r="C20" i="10"/>
  <c r="L250" i="1"/>
  <c r="L332" i="1"/>
  <c r="L254" i="1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C18" i="2" s="1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8" i="2" s="1"/>
  <c r="C121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F461" i="1"/>
  <c r="G461" i="1"/>
  <c r="H640" i="1" s="1"/>
  <c r="J640" i="1" s="1"/>
  <c r="H461" i="1"/>
  <c r="F470" i="1"/>
  <c r="G470" i="1"/>
  <c r="G476" i="1" s="1"/>
  <c r="H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G164" i="2"/>
  <c r="C26" i="10"/>
  <c r="L328" i="1"/>
  <c r="H660" i="1" s="1"/>
  <c r="L351" i="1"/>
  <c r="I662" i="1"/>
  <c r="A31" i="12"/>
  <c r="C70" i="2"/>
  <c r="A40" i="12"/>
  <c r="D62" i="2"/>
  <c r="D63" i="2" s="1"/>
  <c r="D18" i="13"/>
  <c r="C18" i="13" s="1"/>
  <c r="D17" i="13"/>
  <c r="C17" i="13" s="1"/>
  <c r="F78" i="2"/>
  <c r="F81" i="2" s="1"/>
  <c r="D31" i="2"/>
  <c r="G157" i="2"/>
  <c r="F18" i="2"/>
  <c r="G156" i="2"/>
  <c r="E103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H112" i="1"/>
  <c r="J641" i="1"/>
  <c r="J639" i="1"/>
  <c r="K605" i="1"/>
  <c r="G648" i="1" s="1"/>
  <c r="J571" i="1"/>
  <c r="K571" i="1"/>
  <c r="L433" i="1"/>
  <c r="L419" i="1"/>
  <c r="D81" i="2"/>
  <c r="I169" i="1"/>
  <c r="J643" i="1"/>
  <c r="H476" i="1"/>
  <c r="H624" i="1" s="1"/>
  <c r="J624" i="1" s="1"/>
  <c r="I476" i="1"/>
  <c r="H625" i="1" s="1"/>
  <c r="J625" i="1" s="1"/>
  <c r="J140" i="1"/>
  <c r="F571" i="1"/>
  <c r="I552" i="1"/>
  <c r="K550" i="1"/>
  <c r="G22" i="2"/>
  <c r="K545" i="1"/>
  <c r="J552" i="1"/>
  <c r="H552" i="1"/>
  <c r="C29" i="10"/>
  <c r="H140" i="1"/>
  <c r="L393" i="1"/>
  <c r="F22" i="13"/>
  <c r="C22" i="13" s="1"/>
  <c r="H25" i="13"/>
  <c r="C25" i="13" s="1"/>
  <c r="J651" i="1"/>
  <c r="H571" i="1"/>
  <c r="L560" i="1"/>
  <c r="J545" i="1"/>
  <c r="H338" i="1"/>
  <c r="H352" i="1" s="1"/>
  <c r="G192" i="1"/>
  <c r="H192" i="1"/>
  <c r="C35" i="10"/>
  <c r="L309" i="1"/>
  <c r="L570" i="1"/>
  <c r="I571" i="1"/>
  <c r="I545" i="1"/>
  <c r="J636" i="1"/>
  <c r="G36" i="2"/>
  <c r="L565" i="1"/>
  <c r="H545" i="1"/>
  <c r="K551" i="1"/>
  <c r="C138" i="2"/>
  <c r="H33" i="13"/>
  <c r="G545" i="1" l="1"/>
  <c r="H257" i="1"/>
  <c r="H271" i="1" s="1"/>
  <c r="F476" i="1"/>
  <c r="H622" i="1" s="1"/>
  <c r="G645" i="1"/>
  <c r="J645" i="1" s="1"/>
  <c r="L524" i="1"/>
  <c r="L545" i="1" s="1"/>
  <c r="C18" i="10"/>
  <c r="C120" i="2"/>
  <c r="A13" i="12"/>
  <c r="J622" i="1"/>
  <c r="J617" i="1"/>
  <c r="K549" i="1"/>
  <c r="K552" i="1" s="1"/>
  <c r="K598" i="1"/>
  <c r="G647" i="1" s="1"/>
  <c r="J649" i="1"/>
  <c r="C25" i="10"/>
  <c r="D7" i="13"/>
  <c r="C7" i="13" s="1"/>
  <c r="D6" i="13"/>
  <c r="C6" i="13" s="1"/>
  <c r="D15" i="13"/>
  <c r="C15" i="13" s="1"/>
  <c r="H647" i="1"/>
  <c r="C16" i="10"/>
  <c r="C15" i="10"/>
  <c r="C112" i="2"/>
  <c r="C11" i="10"/>
  <c r="C17" i="10"/>
  <c r="C128" i="2"/>
  <c r="L211" i="1"/>
  <c r="L257" i="1" s="1"/>
  <c r="L271" i="1" s="1"/>
  <c r="G632" i="1" s="1"/>
  <c r="J632" i="1" s="1"/>
  <c r="D5" i="13"/>
  <c r="C5" i="13" s="1"/>
  <c r="C109" i="2"/>
  <c r="C10" i="10"/>
  <c r="C62" i="2"/>
  <c r="C63" i="2" s="1"/>
  <c r="F112" i="1"/>
  <c r="C36" i="10" s="1"/>
  <c r="C91" i="2"/>
  <c r="C78" i="2"/>
  <c r="C81" i="2"/>
  <c r="G338" i="1"/>
  <c r="G352" i="1" s="1"/>
  <c r="E110" i="2"/>
  <c r="E109" i="2"/>
  <c r="L290" i="1"/>
  <c r="F338" i="1"/>
  <c r="F352" i="1" s="1"/>
  <c r="E33" i="13"/>
  <c r="D35" i="13" s="1"/>
  <c r="E31" i="2"/>
  <c r="H52" i="1"/>
  <c r="H619" i="1" s="1"/>
  <c r="J619" i="1" s="1"/>
  <c r="J476" i="1"/>
  <c r="H626" i="1" s="1"/>
  <c r="I460" i="1"/>
  <c r="I461" i="1" s="1"/>
  <c r="H642" i="1" s="1"/>
  <c r="I446" i="1"/>
  <c r="G642" i="1" s="1"/>
  <c r="L401" i="1"/>
  <c r="C139" i="2" s="1"/>
  <c r="J634" i="1"/>
  <c r="L362" i="1"/>
  <c r="G635" i="1" s="1"/>
  <c r="J635" i="1" s="1"/>
  <c r="D127" i="2"/>
  <c r="D128" i="2" s="1"/>
  <c r="D29" i="13"/>
  <c r="C29" i="13" s="1"/>
  <c r="G661" i="1"/>
  <c r="D145" i="2"/>
  <c r="F661" i="1"/>
  <c r="H664" i="1"/>
  <c r="H667" i="1" s="1"/>
  <c r="D91" i="2"/>
  <c r="J623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F193" i="1" l="1"/>
  <c r="G627" i="1" s="1"/>
  <c r="J627" i="1" s="1"/>
  <c r="L408" i="1"/>
  <c r="C141" i="2"/>
  <c r="C144" i="2" s="1"/>
  <c r="J647" i="1"/>
  <c r="C115" i="2"/>
  <c r="C28" i="10"/>
  <c r="D24" i="10" s="1"/>
  <c r="C104" i="2"/>
  <c r="L338" i="1"/>
  <c r="L352" i="1" s="1"/>
  <c r="G633" i="1" s="1"/>
  <c r="J633" i="1" s="1"/>
  <c r="E115" i="2"/>
  <c r="E145" i="2" s="1"/>
  <c r="F660" i="1"/>
  <c r="I660" i="1" s="1"/>
  <c r="I664" i="1" s="1"/>
  <c r="I672" i="1" s="1"/>
  <c r="C7" i="10" s="1"/>
  <c r="D31" i="13"/>
  <c r="C31" i="13" s="1"/>
  <c r="G104" i="2"/>
  <c r="J642" i="1"/>
  <c r="I661" i="1"/>
  <c r="G664" i="1"/>
  <c r="G667" i="1" s="1"/>
  <c r="H672" i="1"/>
  <c r="C6" i="10" s="1"/>
  <c r="D104" i="2"/>
  <c r="G672" i="1"/>
  <c r="C5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C145" i="2"/>
  <c r="D23" i="10"/>
  <c r="D20" i="10"/>
  <c r="D15" i="10"/>
  <c r="D21" i="10"/>
  <c r="D13" i="10"/>
  <c r="D11" i="10"/>
  <c r="D16" i="10"/>
  <c r="D27" i="10"/>
  <c r="D18" i="10"/>
  <c r="C30" i="10"/>
  <c r="D19" i="10"/>
  <c r="D10" i="10"/>
  <c r="D26" i="10"/>
  <c r="D25" i="10"/>
  <c r="D22" i="10"/>
  <c r="D17" i="10"/>
  <c r="D12" i="10"/>
  <c r="D33" i="13"/>
  <c r="D36" i="13" s="1"/>
  <c r="F664" i="1"/>
  <c r="F672" i="1" s="1"/>
  <c r="C4" i="10" s="1"/>
  <c r="I667" i="1"/>
  <c r="C41" i="10"/>
  <c r="D38" i="10" s="1"/>
  <c r="H656" i="1" l="1"/>
  <c r="D28" i="10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<sst xmlns="http://schemas.openxmlformats.org/spreadsheetml/2006/main" count="3959" uniqueCount="915">
  <si>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</si>
  <si>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</si>
  <si>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</si>
  <si>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</si>
  <si>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</si>
  <si>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</si>
  <si>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</si>
  <si>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</si>
  <si>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</si>
  <si>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</si>
  <si>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</si>
  <si>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</si>
  <si>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</si>
  <si>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</si>
  <si>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</si>
  <si>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</si>
  <si>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</si>
  <si>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</si>
  <si>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</si>
  <si>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</si>
  <si>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</si>
  <si>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</si>
  <si>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</si>
  <si>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</si>
  <si>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</si>
  <si>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</si>
  <si>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</si>
  <si>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</si>
  <si>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</si>
  <si>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</si>
  <si>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</si>
  <si>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</si>
  <si>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</si>
  <si>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</si>
  <si>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</si>
  <si>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</si>
  <si>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</si>
  <si>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</si>
  <si>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</si>
  <si>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</si>
  <si>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</si>
  <si>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</si>
  <si>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</si>
  <si>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</si>
  <si>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</si>
  <si>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</si>
  <si>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</si>
  <si>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</si>
  <si>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</si>
  <si>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</si>
  <si>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</si>
  <si>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</si>
  <si>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</si>
  <si>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</si>
  <si>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</si>
  <si>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</si>
  <si>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</si>
  <si>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</si>
  <si>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</si>
  <si>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</si>
  <si>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</si>
  <si>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</si>
  <si>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</si>
  <si>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</si>
  <si>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</si>
  <si>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</si>
  <si>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</si>
  <si>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</si>
  <si>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</si>
  <si>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</si>
  <si>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</si>
  <si>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</si>
  <si>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</si>
  <si>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</si>
  <si>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</si>
  <si>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</si>
  <si>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</si>
  <si>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</si>
  <si>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</si>
  <si>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</si>
  <si>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</si>
  <si>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</si>
  <si>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</si>
  <si>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</si>
  <si>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</si>
  <si>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</si>
  <si>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</si>
  <si>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</si>
  <si>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</si>
  <si>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</si>
  <si>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</si>
  <si>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</si>
  <si>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</si>
  <si>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</si>
  <si>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</si>
  <si>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</si>
  <si>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</si>
  <si>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</si>
  <si>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</si>
  <si>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</si>
  <si>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</si>
  <si>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</si>
  <si>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</si>
  <si>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</si>
  <si>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</si>
  <si>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</si>
  <si>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</si>
  <si>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</si>
  <si>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</si>
  <si>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</si>
  <si>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</si>
  <si>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</si>
  <si>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</si>
  <si>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</si>
  <si>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</si>
  <si>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</si>
  <si>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</si>
  <si>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</si>
  <si>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</si>
  <si>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</si>
  <si>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</si>
  <si>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</si>
  <si>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</si>
  <si>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</si>
  <si>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</si>
  <si>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</si>
  <si>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</si>
  <si>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</si>
  <si>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</si>
  <si>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</si>
  <si>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</si>
  <si>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</si>
  <si>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</si>
  <si>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</si>
  <si>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</si>
  <si>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</si>
  <si>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</si>
  <si>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</si>
  <si>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</si>
  <si>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</si>
  <si>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</si>
  <si>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</si>
  <si>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</si>
  <si>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</si>
  <si>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</si>
  <si>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</si>
  <si>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</si>
  <si>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</si>
  <si>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</si>
  <si>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</si>
  <si>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</si>
  <si>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</si>
  <si>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</si>
  <si>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</si>
  <si>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</si>
  <si>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</si>
  <si>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</si>
  <si>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</si>
  <si>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</si>
  <si>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</si>
  <si>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</si>
  <si>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</si>
  <si>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</si>
  <si>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</si>
  <si>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</si>
  <si>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</si>
  <si>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</si>
  <si>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</si>
  <si>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</si>
  <si>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</si>
  <si>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</si>
  <si>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</si>
  <si>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</si>
  <si>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</si>
  <si>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</si>
  <si>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</si>
  <si>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</si>
  <si>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</si>
  <si>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</si>
  <si>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</si>
  <si>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</si>
  <si>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</si>
  <si>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</si>
  <si>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</si>
  <si>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</si>
  <si>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</si>
  <si>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</si>
  <si>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</si>
  <si>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</si>
  <si>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</si>
  <si>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</si>
  <si>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</si>
  <si>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</si>
  <si>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</si>
  <si>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</si>
  <si>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</si>
  <si>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</si>
  <si>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</si>
  <si>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</si>
  <si>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</si>
  <si>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</si>
  <si>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</si>
  <si>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</si>
  <si>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</si>
  <si>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</si>
  <si>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</si>
  <si>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</si>
  <si>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</si>
  <si>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</si>
  <si>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</si>
  <si>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</si>
  <si>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</si>
  <si>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</si>
  <si>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</si>
  <si>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</si>
  <si>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</si>
  <si>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</si>
  <si>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</si>
  <si>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</si>
  <si>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</si>
  <si>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</si>
  <si>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</si>
  <si>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</si>
  <si>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</si>
  <si>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</si>
  <si>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</si>
  <si>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</si>
  <si>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</si>
  <si>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</si>
  <si>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</si>
  <si>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</si>
  <si>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</si>
  <si>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</si>
  <si>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</si>
  <si>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</si>
  <si>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</si>
  <si>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</si>
  <si>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</si>
  <si>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</si>
  <si>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</si>
  <si>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</si>
  <si>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</si>
  <si>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</si>
  <si>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</si>
  <si>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</si>
  <si>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</si>
  <si>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</si>
  <si>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</si>
  <si>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</si>
  <si>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</si>
  <si>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</si>
  <si>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</si>
  <si>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</si>
  <si>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</si>
  <si>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</si>
  <si>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</si>
  <si>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</si>
  <si>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</si>
  <si>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</si>
  <si>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</si>
  <si>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</si>
  <si>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</si>
  <si>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</si>
  <si>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</si>
  <si>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</si>
  <si>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</si>
  <si>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</si>
  <si>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</si>
  <si>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</si>
  <si>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</si>
  <si>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</si>
  <si>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</si>
  <si>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</si>
  <si>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</si>
  <si>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</si>
  <si>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</si>
  <si>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</si>
  <si>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</si>
  <si>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</si>
  <si>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</si>
  <si>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</si>
  <si>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</si>
  <si>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</si>
  <si>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</si>
  <si>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</si>
  <si>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</si>
  <si>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</si>
  <si>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</si>
  <si>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</si>
  <si>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</si>
  <si>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</si>
  <si>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</si>
  <si>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</si>
  <si>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</si>
  <si>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</si>
  <si>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</si>
  <si>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</si>
  <si>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</si>
  <si>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</si>
  <si>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</si>
  <si>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</si>
  <si>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</si>
  <si>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</si>
  <si>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</si>
  <si>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</si>
  <si>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</si>
  <si>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</si>
  <si>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</si>
  <si>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</si>
  <si>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</si>
  <si>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</si>
  <si>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</si>
  <si>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</si>
  <si>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</si>
  <si>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</si>
  <si>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</si>
  <si>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</si>
  <si>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</si>
  <si>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</si>
  <si>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</si>
  <si>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</si>
  <si>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</si>
  <si>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</si>
  <si>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</si>
  <si>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</si>
  <si>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</si>
  <si>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</si>
  <si>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</si>
  <si>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</si>
  <si>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</si>
  <si>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</si>
  <si>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</si>
  <si>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</si>
  <si>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</si>
  <si>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</si>
  <si>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</si>
  <si>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</si>
  <si>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</si>
  <si>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</si>
  <si>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</si>
  <si>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</si>
  <si>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</si>
  <si>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</si>
  <si>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</si>
  <si>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</si>
  <si>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</si>
  <si>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</si>
  <si>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</si>
  <si>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</si>
  <si>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</si>
  <si>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</si>
  <si>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</si>
  <si>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</si>
  <si>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</si>
  <si>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</si>
  <si>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</si>
  <si>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</si>
  <si>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</si>
  <si>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</si>
  <si>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</si>
  <si>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</si>
  <si>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</si>
  <si>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</si>
  <si>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</si>
  <si>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</si>
  <si>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</si>
  <si>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</si>
  <si>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</si>
  <si>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</si>
  <si>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</si>
  <si>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</si>
  <si>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</si>
  <si>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</si>
  <si>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</si>
  <si>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</si>
  <si>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</si>
  <si>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</si>
  <si>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</si>
  <si>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</si>
  <si>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</si>
  <si>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</si>
  <si>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</si>
  <si>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</si>
  <si>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</si>
  <si>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</si>
  <si>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</si>
  <si>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</si>
  <si>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</si>
  <si>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</si>
  <si>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</si>
  <si>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</si>
  <si>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</si>
  <si>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</si>
  <si>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</si>
  <si>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</si>
  <si>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</si>
  <si>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</si>
  <si>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</si>
  <si>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</si>
  <si>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</si>
  <si>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</si>
  <si>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</si>
  <si>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</si>
  <si>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</si>
  <si>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</si>
  <si>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</si>
  <si>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</si>
  <si>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</si>
  <si>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</si>
  <si>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</si>
  <si>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</si>
  <si>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</si>
  <si>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</si>
  <si>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</si>
  <si>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</si>
  <si>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</si>
  <si>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</si>
  <si>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</si>
  <si>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</si>
  <si>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</si>
  <si>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</si>
  <si>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</si>
  <si>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</si>
  <si>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</si>
  <si>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</si>
  <si>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</si>
  <si>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</si>
  <si>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</si>
  <si>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</si>
  <si>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</si>
  <si>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</si>
  <si>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</si>
  <si>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</si>
  <si>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</si>
  <si>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</si>
  <si>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</si>
  <si>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</si>
  <si>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</si>
  <si>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</si>
  <si>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</si>
  <si>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</si>
  <si>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</si>
  <si>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</si>
  <si>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</si>
  <si>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</si>
  <si>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</si>
  <si>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</si>
  <si>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</si>
  <si>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</si>
  <si>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</si>
  <si>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</si>
  <si>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</si>
  <si>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</si>
  <si>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</si>
  <si>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</si>
  <si>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</si>
  <si>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</si>
  <si>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</si>
  <si>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</si>
  <si>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</si>
  <si>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</si>
  <si>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</si>
  <si>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</si>
  <si>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</si>
  <si>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</si>
  <si>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</si>
  <si>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</si>
  <si>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</si>
  <si>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</si>
  <si>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</si>
  <si>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</si>
  <si>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</si>
  <si>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</si>
  <si>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</si>
  <si>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</si>
  <si>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</si>
  <si>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</si>
  <si>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</si>
  <si>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</si>
  <si>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</si>
  <si>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</si>
  <si>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</si>
  <si>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</si>
  <si>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</si>
  <si>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</si>
  <si>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</si>
  <si>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</si>
  <si>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</si>
  <si>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</si>
  <si>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</si>
  <si>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</si>
  <si>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</si>
  <si>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</si>
  <si>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</si>
  <si>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</si>
  <si>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</si>
  <si>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</si>
  <si>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</si>
  <si>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</si>
  <si>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</si>
  <si>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</si>
  <si>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</si>
  <si>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</si>
  <si>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</si>
  <si>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</si>
  <si>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</si>
  <si>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</si>
  <si>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</si>
  <si>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</si>
  <si>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</si>
  <si>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</si>
  <si>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</si>
  <si>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</si>
  <si>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</si>
  <si>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</si>
  <si>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</si>
  <si>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</si>
  <si>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</si>
  <si>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</si>
  <si>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</si>
  <si>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</si>
  <si>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</si>
  <si>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</si>
  <si>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</si>
  <si>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</si>
  <si>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</si>
  <si>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</si>
  <si>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</si>
  <si>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</si>
  <si>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</si>
  <si>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</si>
  <si>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</si>
  <si>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</si>
  <si>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</si>
  <si>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</si>
  <si>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</si>
  <si>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</si>
  <si>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</si>
  <si>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</si>
  <si>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</si>
  <si>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</si>
  <si>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</si>
  <si>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</si>
  <si>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</si>
  <si>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</si>
  <si>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</si>
  <si>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</si>
  <si>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</si>
  <si>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</si>
  <si>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</si>
  <si>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</si>
  <si>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</si>
  <si>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</si>
  <si>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</si>
  <si>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</si>
  <si>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</si>
  <si>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</si>
  <si>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</si>
  <si>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</si>
  <si>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</si>
  <si>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</si>
  <si>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</si>
  <si>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</si>
  <si>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</si>
  <si>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</si>
  <si>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</si>
  <si>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</si>
  <si>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</si>
  <si>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</si>
  <si>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</si>
  <si>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</si>
  <si>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</si>
  <si>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</si>
  <si>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</si>
  <si>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</si>
  <si>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</si>
  <si>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</si>
  <si>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</si>
  <si>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</si>
  <si>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</si>
  <si>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</si>
  <si>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</si>
  <si>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</si>
  <si>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</si>
  <si>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</si>
  <si>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</si>
  <si>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</si>
  <si>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</si>
  <si>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</si>
  <si>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</si>
  <si>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</si>
  <si>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</si>
  <si>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</si>
  <si>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</si>
  <si>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</si>
  <si>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</si>
  <si>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</si>
  <si>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</si>
  <si>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</si>
  <si>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</si>
  <si>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</si>
  <si>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</si>
  <si>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</si>
  <si>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</si>
  <si>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</si>
  <si>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</si>
  <si>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</si>
  <si>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</si>
  <si>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</si>
  <si>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</si>
  <si>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</si>
  <si>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</si>
  <si>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</si>
  <si>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</si>
  <si>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</si>
  <si>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</si>
  <si>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</si>
  <si>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</si>
  <si>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</si>
  <si>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</si>
  <si>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</si>
  <si>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</si>
  <si>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</si>
  <si>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</si>
  <si>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</si>
  <si>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</si>
  <si>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</si>
  <si>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</si>
  <si>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</si>
  <si>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</si>
  <si>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</si>
  <si>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</si>
  <si>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</si>
  <si>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</si>
  <si>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</si>
  <si>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</si>
  <si>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</si>
  <si>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</si>
  <si>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</si>
  <si>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</si>
  <si>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</si>
  <si>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</si>
  <si>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</si>
  <si>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</si>
  <si>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</si>
  <si>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</si>
  <si>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</si>
  <si>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</si>
  <si>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</si>
  <si>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</si>
  <si>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</si>
  <si>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</si>
  <si>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</si>
  <si>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</si>
  <si>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</si>
  <si>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</si>
  <si>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</si>
  <si>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</si>
  <si>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</si>
  <si>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</si>
  <si>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</si>
  <si>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</si>
  <si>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</si>
  <si>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</si>
  <si>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</si>
  <si>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</si>
  <si>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</si>
  <si>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</si>
  <si>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</si>
  <si>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</si>
  <si>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</si>
  <si>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</si>
  <si>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</si>
  <si>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</si>
  <si>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</si>
  <si>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</si>
  <si>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</si>
  <si>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</si>
  <si>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</si>
  <si>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</si>
  <si>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</si>
  <si>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</si>
  <si>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</si>
  <si>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</si>
  <si>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</si>
  <si>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</si>
  <si>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</si>
  <si>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</si>
  <si>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</si>
  <si>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</si>
  <si>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</si>
  <si>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</si>
  <si>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</si>
  <si>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</si>
  <si>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</si>
  <si>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</si>
  <si>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</si>
  <si>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</si>
  <si>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</si>
  <si>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</si>
  <si>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</si>
  <si>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</si>
  <si>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</si>
  <si>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</si>
  <si>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</si>
  <si>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</si>
  <si>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</si>
  <si>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</si>
  <si>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</si>
  <si>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</si>
  <si>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</si>
  <si>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</si>
  <si>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</si>
  <si>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</si>
  <si>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</si>
  <si>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</si>
  <si>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</si>
  <si>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</si>
  <si>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</si>
  <si>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</si>
  <si>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</si>
  <si>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</si>
  <si>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</si>
  <si>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</si>
  <si>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</si>
  <si>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</si>
  <si>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</si>
  <si>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</si>
  <si>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</si>
  <si>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</si>
  <si>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</si>
  <si>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</si>
  <si>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</si>
  <si>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</si>
  <si>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</si>
  <si>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</si>
  <si>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</si>
  <si>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</si>
  <si>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</si>
  <si>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</si>
  <si>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</si>
  <si>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</si>
  <si>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</si>
  <si>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</si>
  <si>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</si>
  <si>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</si>
  <si>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</si>
  <si>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</si>
  <si>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</si>
  <si>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</si>
  <si>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</si>
  <si>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</si>
  <si>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</si>
  <si>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</si>
  <si>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</si>
  <si>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</si>
  <si>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</si>
  <si>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</si>
  <si>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</si>
  <si>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</si>
  <si>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</si>
  <si>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</si>
  <si>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</si>
  <si>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</si>
  <si>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</si>
  <si>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</si>
  <si>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</si>
  <si>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</si>
  <si>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</si>
  <si>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</si>
  <si>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</si>
  <si>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</si>
  <si>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</si>
  <si>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</si>
  <si>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</si>
  <si>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</si>
  <si>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</si>
  <si>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</si>
  <si>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</si>
  <si>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</si>
  <si>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</si>
  <si>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</si>
  <si>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</si>
  <si>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</si>
  <si>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</si>
  <si>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</si>
  <si>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</si>
  <si>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</si>
  <si>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</si>
  <si>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</si>
  <si>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</si>
  <si>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</si>
  <si>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</si>
  <si>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</si>
  <si>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</si>
  <si>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</si>
  <si>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</si>
  <si>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</si>
  <si>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</si>
  <si>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</si>
  <si>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</si>
  <si>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</si>
  <si>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</si>
  <si>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</si>
  <si>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</si>
  <si>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</si>
  <si>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</si>
  <si>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</si>
  <si>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</si>
  <si>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</si>
  <si>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</si>
  <si>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</si>
  <si>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</si>
  <si>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</si>
  <si>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</si>
  <si>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</si>
  <si>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</si>
  <si>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</si>
  <si>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</si>
  <si>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</si>
  <si>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</si>
  <si>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</si>
  <si>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</si>
  <si>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</si>
  <si>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</si>
  <si>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</si>
  <si>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</si>
  <si>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</si>
  <si>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</si>
  <si>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</si>
  <si>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</si>
  <si>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</si>
  <si>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</si>
  <si>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</si>
  <si>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</si>
  <si>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</si>
  <si>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</si>
  <si>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</si>
  <si>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</si>
  <si>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</si>
  <si>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</si>
  <si>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</si>
  <si>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</si>
  <si>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</si>
  <si>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</si>
  <si>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</si>
  <si>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</si>
  <si>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</si>
  <si>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</si>
  <si>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</si>
  <si>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</si>
  <si>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</si>
  <si>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</si>
  <si>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</si>
  <si>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</si>
  <si>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</si>
  <si>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</si>
  <si>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</si>
  <si>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</si>
  <si>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</si>
  <si>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</si>
  <si>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</si>
  <si>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</si>
  <si>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</si>
  <si>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</si>
  <si>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</si>
  <si>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</si>
  <si>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</si>
  <si>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</si>
  <si>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</si>
  <si>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</si>
  <si>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</si>
  <si>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</si>
  <si>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</si>
  <si>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</si>
  <si>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</si>
  <si>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</si>
  <si>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</si>
  <si>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</si>
  <si>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</si>
  <si>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</si>
  <si>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</si>
  <si>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</si>
  <si>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</si>
  <si>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</si>
  <si>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</si>
  <si>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</si>
  <si>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</si>
  <si>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</si>
  <si>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</si>
  <si>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</si>
  <si>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</si>
  <si>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</si>
  <si>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</si>
  <si>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</si>
  <si>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</si>
  <si>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</si>
  <si>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</si>
  <si>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</si>
  <si>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</si>
  <si>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</si>
  <si>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</si>
  <si>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</si>
  <si>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</si>
  <si>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</si>
  <si>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</si>
  <si>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</si>
  <si>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</si>
  <si>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</si>
  <si>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</si>
  <si>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</si>
  <si>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</si>
  <si>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NORTH HAMPTON</t>
  </si>
  <si>
    <t>August 2013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</si>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</sst>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405</v>
      </c>
      <c r="C2" s="21">
        <v>405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182618.92+133.61</f>
        <v>182752.53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493625.28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12938.39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1334.98</v>
      </c>
      <c r="G13" s="18">
        <v>1710.97</v>
      </c>
      <c r="H13" s="18">
        <v>9505.9699999999993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4317.22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8930.14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111902.85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313245.96999999997</v>
      </c>
      <c r="G19" s="41">
        <f>SUM(G9:G18)</f>
        <v>10641.109999999999</v>
      </c>
      <c r="H19" s="41">
        <f>SUM(H9:H18)</f>
        <v>9505.9699999999993</v>
      </c>
      <c r="I19" s="41">
        <f>SUM(I9:I18)</f>
        <v>0</v>
      </c>
      <c r="J19" s="41">
        <f>SUM(J9:J18)</f>
        <v>493625.28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>
        <v>3448.98</v>
      </c>
      <c r="H23" s="18">
        <v>9489.41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29665.19</v>
      </c>
      <c r="G24" s="18">
        <v>756.89</v>
      </c>
      <c r="H24" s="18">
        <v>16.559999999999999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5146.07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393.68+1354.04+44606.67+459.62+937.1</f>
        <v>47751.11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6435.24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82562.37</v>
      </c>
      <c r="G32" s="41">
        <f>SUM(G22:G31)</f>
        <v>10641.11</v>
      </c>
      <c r="H32" s="41">
        <f>SUM(H22:H31)</f>
        <v>9505.9699999999993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8930.14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111902.85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-8930.14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14697.17</v>
      </c>
      <c r="G48" s="18"/>
      <c r="H48" s="18"/>
      <c r="I48" s="18"/>
      <c r="J48" s="13">
        <f>SUM(I459)</f>
        <v>493625.28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3571.82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511.76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230683.60000000003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493625.28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313245.97000000003</v>
      </c>
      <c r="G52" s="41">
        <f>G51+G32</f>
        <v>10641.11</v>
      </c>
      <c r="H52" s="41">
        <f>H51+H32</f>
        <v>9505.9699999999993</v>
      </c>
      <c r="I52" s="41">
        <f>I51+I32</f>
        <v>0</v>
      </c>
      <c r="J52" s="41">
        <f>J51+J32</f>
        <v>493625.28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6878718.4800000004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6878718.4800000004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29962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13515</v>
      </c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43477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1982.17</v>
      </c>
      <c r="G96" s="18"/>
      <c r="H96" s="18"/>
      <c r="I96" s="18"/>
      <c r="J96" s="18">
        <v>3844.97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104643.34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796.2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9.99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2788.3599999999997</v>
      </c>
      <c r="G111" s="41">
        <f>SUM(G96:G110)</f>
        <v>104643.34</v>
      </c>
      <c r="H111" s="41">
        <f>SUM(H96:H110)</f>
        <v>0</v>
      </c>
      <c r="I111" s="41">
        <f>SUM(I96:I110)</f>
        <v>0</v>
      </c>
      <c r="J111" s="41">
        <f>SUM(J96:J110)</f>
        <v>3844.97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6924983.8400000008</v>
      </c>
      <c r="G112" s="41">
        <f>G60+G111</f>
        <v>104643.34</v>
      </c>
      <c r="H112" s="41">
        <f>H60+H79+H94+H111</f>
        <v>0</v>
      </c>
      <c r="I112" s="41">
        <f>I60+I111</f>
        <v>0</v>
      </c>
      <c r="J112" s="41">
        <f>J60+J111</f>
        <v>3844.97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1825386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1825386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61394.55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2208.65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61394.55</v>
      </c>
      <c r="G136" s="41">
        <f>SUM(G123:G135)</f>
        <v>2208.65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1886780.55</v>
      </c>
      <c r="G140" s="41">
        <f>G121+SUM(G136:G137)</f>
        <v>2208.65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25950.63</v>
      </c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362.26+805.56+21080.69</f>
        <v>22248.51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1334.65+2716</f>
        <v>4050.65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22995.11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4190.9+91375.92+4357.02</f>
        <v>99923.839999999997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24882.74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50833.37</v>
      </c>
      <c r="G162" s="41">
        <f>SUM(G150:G161)</f>
        <v>22995.11</v>
      </c>
      <c r="H162" s="41">
        <f>SUM(H150:H161)</f>
        <v>126223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>
        <v>12625.42</v>
      </c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50833.37</v>
      </c>
      <c r="G169" s="41">
        <f>G147+G162+SUM(G163:G168)</f>
        <v>35620.53</v>
      </c>
      <c r="H169" s="41">
        <f>H147+H162+SUM(H163:H168)</f>
        <v>126223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30135.439999999999</v>
      </c>
      <c r="H179" s="18"/>
      <c r="I179" s="18"/>
      <c r="J179" s="18">
        <v>235000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30135.439999999999</v>
      </c>
      <c r="H183" s="41">
        <f>SUM(H179:H182)</f>
        <v>0</v>
      </c>
      <c r="I183" s="41">
        <f>SUM(I179:I182)</f>
        <v>0</v>
      </c>
      <c r="J183" s="41">
        <f>SUM(J179:J182)</f>
        <v>235000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75000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75000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75000</v>
      </c>
      <c r="G192" s="41">
        <f>G183+SUM(G188:G191)</f>
        <v>30135.439999999999</v>
      </c>
      <c r="H192" s="41">
        <f>+H183+SUM(H188:H191)</f>
        <v>0</v>
      </c>
      <c r="I192" s="41">
        <f>I177+I183+SUM(I188:I191)</f>
        <v>0</v>
      </c>
      <c r="J192" s="41">
        <f>J183</f>
        <v>235000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8937597.7599999998</v>
      </c>
      <c r="G193" s="47">
        <f>G112+G140+G169+G192</f>
        <v>172607.96</v>
      </c>
      <c r="H193" s="47">
        <f>H112+H140+H169+H192</f>
        <v>126223</v>
      </c>
      <c r="I193" s="47">
        <f>I112+I140+I169+I192</f>
        <v>0</v>
      </c>
      <c r="J193" s="47">
        <f>J112+J140+J192</f>
        <v>238844.97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2370273.01+8564</f>
        <v>2378837.0099999998</v>
      </c>
      <c r="G197" s="18">
        <f>1109132.38+0.01+1192.55</f>
        <v>1110324.94</v>
      </c>
      <c r="H197" s="18">
        <f>12574.81+9587.8</f>
        <v>22162.61</v>
      </c>
      <c r="I197" s="18">
        <f>52019.76+4754.92+9989.66</f>
        <v>66764.34</v>
      </c>
      <c r="J197" s="18">
        <f>3449.49+959.06</f>
        <v>4408.5499999999993</v>
      </c>
      <c r="K197" s="18">
        <v>624</v>
      </c>
      <c r="L197" s="19">
        <f>SUM(F197:K197)</f>
        <v>3583121.4499999993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1170671.3</v>
      </c>
      <c r="G198" s="18">
        <v>432939.89</v>
      </c>
      <c r="H198" s="18">
        <v>528091.30000000005</v>
      </c>
      <c r="I198" s="18"/>
      <c r="J198" s="18"/>
      <c r="K198" s="18">
        <v>714</v>
      </c>
      <c r="L198" s="19">
        <f>SUM(F198:K198)</f>
        <v>2132416.4900000002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38967.5</v>
      </c>
      <c r="G200" s="18">
        <v>2981.01</v>
      </c>
      <c r="H200" s="18">
        <v>49654.2</v>
      </c>
      <c r="I200" s="18">
        <f>5133.17+558.25</f>
        <v>5691.42</v>
      </c>
      <c r="J200" s="18">
        <f>1451.6+200</f>
        <v>1651.6</v>
      </c>
      <c r="K200" s="18">
        <f>4500+2387.52</f>
        <v>6887.52</v>
      </c>
      <c r="L200" s="19">
        <f>SUM(F200:K200)</f>
        <v>105833.25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79438+55167+112120</f>
        <v>246725</v>
      </c>
      <c r="G202" s="18">
        <v>112849.8</v>
      </c>
      <c r="H202" s="18">
        <v>552</v>
      </c>
      <c r="I202" s="18">
        <f>2373.03+471.94</f>
        <v>2844.9700000000003</v>
      </c>
      <c r="J202" s="18">
        <v>457.8</v>
      </c>
      <c r="K202" s="18"/>
      <c r="L202" s="19">
        <f t="shared" ref="L202:L208" si="0">SUM(F202:K202)</f>
        <v>363429.56999999995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3000+117284.44+152941.17</f>
        <v>273225.61</v>
      </c>
      <c r="G203" s="18">
        <f>9216.46+86644.74</f>
        <v>95861.200000000012</v>
      </c>
      <c r="H203" s="18">
        <f>28864.5+6204.06</f>
        <v>35068.559999999998</v>
      </c>
      <c r="I203" s="18">
        <f>624.9+22711.98+70944.08+1222.85</f>
        <v>95503.810000000012</v>
      </c>
      <c r="J203" s="18">
        <v>55302.03</v>
      </c>
      <c r="K203" s="18">
        <v>1750</v>
      </c>
      <c r="L203" s="19">
        <f t="shared" si="0"/>
        <v>556711.21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14310</v>
      </c>
      <c r="G204" s="18">
        <v>1094.72</v>
      </c>
      <c r="H204" s="18">
        <f>23892.78+213212</f>
        <v>237104.78</v>
      </c>
      <c r="I204" s="18"/>
      <c r="J204" s="18"/>
      <c r="K204" s="18">
        <v>4971.63</v>
      </c>
      <c r="L204" s="19">
        <f t="shared" si="0"/>
        <v>257481.13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248562.51</v>
      </c>
      <c r="G205" s="18">
        <v>84136.02</v>
      </c>
      <c r="H205" s="18">
        <v>5934.1</v>
      </c>
      <c r="I205" s="18">
        <v>2149.9499999999998</v>
      </c>
      <c r="J205" s="18"/>
      <c r="K205" s="18">
        <v>3000</v>
      </c>
      <c r="L205" s="19">
        <f t="shared" si="0"/>
        <v>343782.58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203610.19</v>
      </c>
      <c r="G207" s="18">
        <v>123862.53</v>
      </c>
      <c r="H207" s="18">
        <f>139150.19+29757.87+955.69</f>
        <v>169863.75</v>
      </c>
      <c r="I207" s="18">
        <v>108704.27</v>
      </c>
      <c r="J207" s="18">
        <v>14462.14</v>
      </c>
      <c r="K207" s="18"/>
      <c r="L207" s="19">
        <f t="shared" si="0"/>
        <v>620502.88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363842.01+19426.52+3609.5+6492.1+3207.5</f>
        <v>396577.63</v>
      </c>
      <c r="I208" s="18"/>
      <c r="J208" s="18"/>
      <c r="K208" s="18"/>
      <c r="L208" s="19">
        <f t="shared" si="0"/>
        <v>396577.63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>
        <v>762</v>
      </c>
      <c r="L209" s="19">
        <f>SUM(F209:K209)</f>
        <v>762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4574909.12</v>
      </c>
      <c r="G211" s="41">
        <f t="shared" si="1"/>
        <v>1964050.11</v>
      </c>
      <c r="H211" s="41">
        <f t="shared" si="1"/>
        <v>1445008.93</v>
      </c>
      <c r="I211" s="41">
        <f t="shared" si="1"/>
        <v>281658.76</v>
      </c>
      <c r="J211" s="41">
        <f t="shared" si="1"/>
        <v>76282.12</v>
      </c>
      <c r="K211" s="41">
        <f t="shared" si="1"/>
        <v>18709.150000000001</v>
      </c>
      <c r="L211" s="41">
        <f t="shared" si="1"/>
        <v>8360618.1899999995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f>119280+77999</f>
        <v>197279</v>
      </c>
      <c r="I255" s="18"/>
      <c r="J255" s="18"/>
      <c r="K255" s="18"/>
      <c r="L255" s="19">
        <f t="shared" si="6"/>
        <v>197279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197279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197279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4574909.12</v>
      </c>
      <c r="G257" s="41">
        <f t="shared" si="8"/>
        <v>1964050.11</v>
      </c>
      <c r="H257" s="41">
        <f t="shared" si="8"/>
        <v>1642287.93</v>
      </c>
      <c r="I257" s="41">
        <f t="shared" si="8"/>
        <v>281658.76</v>
      </c>
      <c r="J257" s="41">
        <f t="shared" si="8"/>
        <v>76282.12</v>
      </c>
      <c r="K257" s="41">
        <f t="shared" si="8"/>
        <v>18709.150000000001</v>
      </c>
      <c r="L257" s="41">
        <f t="shared" si="8"/>
        <v>8557897.1899999995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95000</v>
      </c>
      <c r="L260" s="19">
        <f>SUM(F260:K260)</f>
        <v>95000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39562.5</v>
      </c>
      <c r="L261" s="19">
        <f>SUM(F261:K261)</f>
        <v>39562.5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30135.439999999999</v>
      </c>
      <c r="L263" s="19">
        <f>SUM(F263:K263)</f>
        <v>30135.439999999999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235000</v>
      </c>
      <c r="L266" s="19">
        <f t="shared" si="9"/>
        <v>235000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399697.94</v>
      </c>
      <c r="L270" s="41">
        <f t="shared" si="9"/>
        <v>399697.94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4574909.12</v>
      </c>
      <c r="G271" s="42">
        <f t="shared" si="11"/>
        <v>1964050.11</v>
      </c>
      <c r="H271" s="42">
        <f t="shared" si="11"/>
        <v>1642287.93</v>
      </c>
      <c r="I271" s="42">
        <f t="shared" si="11"/>
        <v>281658.76</v>
      </c>
      <c r="J271" s="42">
        <f t="shared" si="11"/>
        <v>76282.12</v>
      </c>
      <c r="K271" s="42">
        <f t="shared" si="11"/>
        <v>418407.09</v>
      </c>
      <c r="L271" s="42">
        <f t="shared" si="11"/>
        <v>8957595.129999999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16084.85</v>
      </c>
      <c r="G276" s="18">
        <v>1230.54</v>
      </c>
      <c r="H276" s="18">
        <v>330</v>
      </c>
      <c r="I276" s="18">
        <v>4557.2299999999996</v>
      </c>
      <c r="J276" s="18"/>
      <c r="K276" s="18"/>
      <c r="L276" s="19">
        <f>SUM(F276:K276)</f>
        <v>22202.62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v>94776.5</v>
      </c>
      <c r="I277" s="18">
        <v>3092.11</v>
      </c>
      <c r="J277" s="18"/>
      <c r="K277" s="18"/>
      <c r="L277" s="19">
        <f>SUM(F277:K277)</f>
        <v>97868.61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330</v>
      </c>
      <c r="G279" s="18">
        <v>25.25</v>
      </c>
      <c r="H279" s="18"/>
      <c r="I279" s="18">
        <v>789</v>
      </c>
      <c r="J279" s="18"/>
      <c r="K279" s="18"/>
      <c r="L279" s="19">
        <f>SUM(F279:K279)</f>
        <v>1144.25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2000</v>
      </c>
      <c r="G283" s="18">
        <v>326.60000000000002</v>
      </c>
      <c r="H283" s="18"/>
      <c r="I283" s="18"/>
      <c r="J283" s="18"/>
      <c r="K283" s="18">
        <f>2481.35+16.56</f>
        <v>2497.91</v>
      </c>
      <c r="L283" s="19">
        <f t="shared" si="12"/>
        <v>4824.51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18414.849999999999</v>
      </c>
      <c r="G290" s="42">
        <f t="shared" si="13"/>
        <v>1582.3899999999999</v>
      </c>
      <c r="H290" s="42">
        <f t="shared" si="13"/>
        <v>95106.5</v>
      </c>
      <c r="I290" s="42">
        <f t="shared" si="13"/>
        <v>8438.34</v>
      </c>
      <c r="J290" s="42">
        <f t="shared" si="13"/>
        <v>0</v>
      </c>
      <c r="K290" s="42">
        <f t="shared" si="13"/>
        <v>2497.91</v>
      </c>
      <c r="L290" s="41">
        <f t="shared" si="13"/>
        <v>126039.98999999999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170</v>
      </c>
      <c r="G332" s="18">
        <v>13.01</v>
      </c>
      <c r="H332" s="18"/>
      <c r="I332" s="18"/>
      <c r="J332" s="18"/>
      <c r="K332" s="18"/>
      <c r="L332" s="19">
        <f t="shared" ref="L332:L337" si="18">SUM(F332:K332)</f>
        <v>183.01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170</v>
      </c>
      <c r="G337" s="41">
        <f t="shared" si="19"/>
        <v>13.01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183.01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18584.849999999999</v>
      </c>
      <c r="G338" s="41">
        <f t="shared" si="20"/>
        <v>1595.3999999999999</v>
      </c>
      <c r="H338" s="41">
        <f t="shared" si="20"/>
        <v>95106.5</v>
      </c>
      <c r="I338" s="41">
        <f t="shared" si="20"/>
        <v>8438.34</v>
      </c>
      <c r="J338" s="41">
        <f t="shared" si="20"/>
        <v>0</v>
      </c>
      <c r="K338" s="41">
        <f t="shared" si="20"/>
        <v>2497.91</v>
      </c>
      <c r="L338" s="41">
        <f t="shared" si="20"/>
        <v>126222.99999999999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18584.849999999999</v>
      </c>
      <c r="G352" s="41">
        <f>G338</f>
        <v>1595.3999999999999</v>
      </c>
      <c r="H352" s="41">
        <f>H338</f>
        <v>95106.5</v>
      </c>
      <c r="I352" s="41">
        <f>I338</f>
        <v>8438.34</v>
      </c>
      <c r="J352" s="41">
        <f>J338</f>
        <v>0</v>
      </c>
      <c r="K352" s="47">
        <f>K338+K351</f>
        <v>2497.91</v>
      </c>
      <c r="L352" s="41">
        <f>L338+L351</f>
        <v>126222.99999999999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46977+53511.56</f>
        <v>100488.56</v>
      </c>
      <c r="G358" s="18"/>
      <c r="H358" s="18">
        <v>581.54999999999995</v>
      </c>
      <c r="I358" s="18">
        <f>3404.01+48276.69+12625.42+1422.01</f>
        <v>65728.13</v>
      </c>
      <c r="J358" s="18">
        <v>4359.32</v>
      </c>
      <c r="K358" s="18">
        <v>1450.4</v>
      </c>
      <c r="L358" s="13">
        <f>SUM(F358:K358)</f>
        <v>172607.96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100488.56</v>
      </c>
      <c r="G362" s="47">
        <f t="shared" si="22"/>
        <v>0</v>
      </c>
      <c r="H362" s="47">
        <f t="shared" si="22"/>
        <v>581.54999999999995</v>
      </c>
      <c r="I362" s="47">
        <f t="shared" si="22"/>
        <v>65728.13</v>
      </c>
      <c r="J362" s="47">
        <f t="shared" si="22"/>
        <v>4359.32</v>
      </c>
      <c r="K362" s="47">
        <f t="shared" si="22"/>
        <v>1450.4</v>
      </c>
      <c r="L362" s="47">
        <f t="shared" si="22"/>
        <v>172607.96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48276.69+12625.42</f>
        <v>60902.11</v>
      </c>
      <c r="G367" s="18"/>
      <c r="H367" s="18"/>
      <c r="I367" s="56">
        <f>SUM(F367:H367)</f>
        <v>60902.11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3404.01+1422.01</f>
        <v>4826.0200000000004</v>
      </c>
      <c r="G368" s="63"/>
      <c r="H368" s="63"/>
      <c r="I368" s="56">
        <f>SUM(F368:H368)</f>
        <v>4826.0200000000004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65728.13</v>
      </c>
      <c r="G369" s="47">
        <f>SUM(G367:G368)</f>
        <v>0</v>
      </c>
      <c r="H369" s="47">
        <f>SUM(H367:H368)</f>
        <v>0</v>
      </c>
      <c r="I369" s="47">
        <f>SUM(I367:I368)</f>
        <v>65728.13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1.84</v>
      </c>
      <c r="I389" s="18"/>
      <c r="J389" s="24" t="s">
        <v>286</v>
      </c>
      <c r="K389" s="24" t="s">
        <v>286</v>
      </c>
      <c r="L389" s="56">
        <f t="shared" si="25"/>
        <v>1.84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1.84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1.84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>
        <v>25000</v>
      </c>
      <c r="H395" s="18">
        <v>759.07</v>
      </c>
      <c r="I395" s="18"/>
      <c r="J395" s="24" t="s">
        <v>286</v>
      </c>
      <c r="K395" s="24" t="s">
        <v>286</v>
      </c>
      <c r="L395" s="56">
        <f t="shared" ref="L395:L400" si="26">SUM(F395:K395)</f>
        <v>25759.07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15000</v>
      </c>
      <c r="H396" s="18">
        <v>808.46</v>
      </c>
      <c r="I396" s="18"/>
      <c r="J396" s="24" t="s">
        <v>286</v>
      </c>
      <c r="K396" s="24" t="s">
        <v>286</v>
      </c>
      <c r="L396" s="56">
        <f t="shared" si="26"/>
        <v>15808.46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150000</v>
      </c>
      <c r="H397" s="18">
        <v>1212.44</v>
      </c>
      <c r="I397" s="18"/>
      <c r="J397" s="24" t="s">
        <v>286</v>
      </c>
      <c r="K397" s="24" t="s">
        <v>286</v>
      </c>
      <c r="L397" s="56">
        <f t="shared" si="26"/>
        <v>151212.44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98.7</v>
      </c>
      <c r="I399" s="18"/>
      <c r="J399" s="24" t="s">
        <v>286</v>
      </c>
      <c r="K399" s="24" t="s">
        <v>286</v>
      </c>
      <c r="L399" s="56">
        <f t="shared" si="26"/>
        <v>98.7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45000</v>
      </c>
      <c r="H400" s="18">
        <v>964.46</v>
      </c>
      <c r="I400" s="18"/>
      <c r="J400" s="24" t="s">
        <v>286</v>
      </c>
      <c r="K400" s="24" t="s">
        <v>286</v>
      </c>
      <c r="L400" s="56">
        <f t="shared" si="26"/>
        <v>45964.46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235000</v>
      </c>
      <c r="H401" s="47">
        <f>SUM(H395:H400)</f>
        <v>3843.13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238843.13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235000</v>
      </c>
      <c r="H408" s="47">
        <f>H393+H401+H407</f>
        <v>3844.9700000000003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238844.97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>
        <v>75000</v>
      </c>
      <c r="L423" s="56">
        <f t="shared" si="29"/>
        <v>75000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75000</v>
      </c>
      <c r="L427" s="47">
        <f t="shared" si="30"/>
        <v>75000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75000</v>
      </c>
      <c r="L434" s="47">
        <f t="shared" si="32"/>
        <v>75000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493625.28</v>
      </c>
      <c r="H440" s="18"/>
      <c r="I440" s="56">
        <f t="shared" si="33"/>
        <v>493625.28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493625.28</v>
      </c>
      <c r="H446" s="13">
        <f>SUM(H439:H445)</f>
        <v>0</v>
      </c>
      <c r="I446" s="13">
        <f>SUM(I439:I445)</f>
        <v>493625.28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493625.28</v>
      </c>
      <c r="H459" s="18"/>
      <c r="I459" s="56">
        <f t="shared" si="34"/>
        <v>493625.28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493625.28</v>
      </c>
      <c r="H460" s="83">
        <f>SUM(H454:H459)</f>
        <v>0</v>
      </c>
      <c r="I460" s="83">
        <f>SUM(I454:I459)</f>
        <v>493625.28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493625.28</v>
      </c>
      <c r="H461" s="42">
        <f>H452+H460</f>
        <v>0</v>
      </c>
      <c r="I461" s="42">
        <f>I452+I460</f>
        <v>493625.28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250680.97</v>
      </c>
      <c r="G465" s="18">
        <v>0</v>
      </c>
      <c r="H465" s="18">
        <v>0</v>
      </c>
      <c r="I465" s="18"/>
      <c r="J465" s="18">
        <v>329780.31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8937597.7599999998</v>
      </c>
      <c r="G468" s="18">
        <v>172607.96</v>
      </c>
      <c r="H468" s="18">
        <v>126223</v>
      </c>
      <c r="I468" s="18"/>
      <c r="J468" s="18">
        <f>235000+3844.97</f>
        <v>238844.97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8937597.7599999998</v>
      </c>
      <c r="G470" s="53">
        <f>SUM(G468:G469)</f>
        <v>172607.96</v>
      </c>
      <c r="H470" s="53">
        <f>SUM(H468:H469)</f>
        <v>126223</v>
      </c>
      <c r="I470" s="53">
        <f>SUM(I468:I469)</f>
        <v>0</v>
      </c>
      <c r="J470" s="53">
        <f>SUM(J468:J469)</f>
        <v>238844.97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8957595.1300000008</v>
      </c>
      <c r="G472" s="18">
        <v>172607.96</v>
      </c>
      <c r="H472" s="18">
        <v>126223</v>
      </c>
      <c r="I472" s="18"/>
      <c r="J472" s="18">
        <v>75000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8957595.1300000008</v>
      </c>
      <c r="G474" s="53">
        <f>SUM(G472:G473)</f>
        <v>172607.96</v>
      </c>
      <c r="H474" s="53">
        <f>SUM(H472:H473)</f>
        <v>126223</v>
      </c>
      <c r="I474" s="53">
        <f>SUM(I472:I473)</f>
        <v>0</v>
      </c>
      <c r="J474" s="53">
        <f>SUM(J472:J473)</f>
        <v>75000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230683.59999999963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493625.28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1200000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2.61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785000</v>
      </c>
      <c r="G495" s="18"/>
      <c r="H495" s="18"/>
      <c r="I495" s="18"/>
      <c r="J495" s="18"/>
      <c r="K495" s="53">
        <f>SUM(F495:J495)</f>
        <v>785000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134562.5</v>
      </c>
      <c r="G497" s="18"/>
      <c r="H497" s="18"/>
      <c r="I497" s="18"/>
      <c r="J497" s="18"/>
      <c r="K497" s="53">
        <f t="shared" si="35"/>
        <v>134562.5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690000</v>
      </c>
      <c r="G498" s="204"/>
      <c r="H498" s="204"/>
      <c r="I498" s="204"/>
      <c r="J498" s="204"/>
      <c r="K498" s="205">
        <f t="shared" si="35"/>
        <v>690000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116361.25</v>
      </c>
      <c r="G499" s="18"/>
      <c r="H499" s="18"/>
      <c r="I499" s="18"/>
      <c r="J499" s="18"/>
      <c r="K499" s="53">
        <f t="shared" si="35"/>
        <v>116361.25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806361.25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806361.25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100000</v>
      </c>
      <c r="G501" s="204"/>
      <c r="H501" s="204"/>
      <c r="I501" s="204"/>
      <c r="J501" s="204"/>
      <c r="K501" s="205">
        <f t="shared" si="35"/>
        <v>100000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34102.5</v>
      </c>
      <c r="G502" s="18"/>
      <c r="H502" s="18"/>
      <c r="I502" s="18"/>
      <c r="J502" s="18"/>
      <c r="K502" s="53">
        <f t="shared" si="35"/>
        <v>34102.5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134102.5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134102.5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597458.92+422312.48</f>
        <v>1019771.4</v>
      </c>
      <c r="G521" s="18">
        <f>272245.08+101265.24</f>
        <v>373510.32</v>
      </c>
      <c r="H521" s="18">
        <f>528091.3-H536+94776.5</f>
        <v>473471.84000000008</v>
      </c>
      <c r="I521" s="18">
        <f>4754.92+3092.11</f>
        <v>7847.0300000000007</v>
      </c>
      <c r="J521" s="18"/>
      <c r="K521" s="18"/>
      <c r="L521" s="88">
        <f>SUM(F521:K521)</f>
        <v>1874600.59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1019771.4</v>
      </c>
      <c r="G524" s="108">
        <f t="shared" ref="G524:L524" si="36">SUM(G521:G523)</f>
        <v>373510.32</v>
      </c>
      <c r="H524" s="108">
        <f t="shared" si="36"/>
        <v>473471.84000000008</v>
      </c>
      <c r="I524" s="108">
        <f t="shared" si="36"/>
        <v>7847.0300000000007</v>
      </c>
      <c r="J524" s="108">
        <f t="shared" si="36"/>
        <v>0</v>
      </c>
      <c r="K524" s="108">
        <f t="shared" si="36"/>
        <v>0</v>
      </c>
      <c r="L524" s="89">
        <f t="shared" si="36"/>
        <v>1874600.59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191504.33000000002</v>
      </c>
      <c r="G526" s="18">
        <v>93394.64</v>
      </c>
      <c r="H526" s="18"/>
      <c r="I526" s="18">
        <v>471.94</v>
      </c>
      <c r="J526" s="18"/>
      <c r="K526" s="18"/>
      <c r="L526" s="88">
        <f>SUM(F526:K526)</f>
        <v>285370.91000000003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191504.33000000002</v>
      </c>
      <c r="G529" s="89">
        <f t="shared" ref="G529:L529" si="37">SUM(G526:G528)</f>
        <v>93394.64</v>
      </c>
      <c r="H529" s="89">
        <f t="shared" si="37"/>
        <v>0</v>
      </c>
      <c r="I529" s="89">
        <f t="shared" si="37"/>
        <v>471.94</v>
      </c>
      <c r="J529" s="89">
        <f t="shared" si="37"/>
        <v>0</v>
      </c>
      <c r="K529" s="89">
        <f t="shared" si="37"/>
        <v>0</v>
      </c>
      <c r="L529" s="89">
        <f t="shared" si="37"/>
        <v>285370.91000000003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46605.1+24910.47</f>
        <v>71515.570000000007</v>
      </c>
      <c r="G531" s="18">
        <f>15630.34+6773.09</f>
        <v>22403.43</v>
      </c>
      <c r="H531" s="18"/>
      <c r="I531" s="18"/>
      <c r="J531" s="18"/>
      <c r="K531" s="18">
        <f>714+86.2+1879.42+89.61</f>
        <v>2769.23</v>
      </c>
      <c r="L531" s="88">
        <f>SUM(F531:K531)</f>
        <v>96688.23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71515.570000000007</v>
      </c>
      <c r="G534" s="89">
        <f t="shared" ref="G534:L534" si="38">SUM(G531:G533)</f>
        <v>22403.43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2769.23</v>
      </c>
      <c r="L534" s="89">
        <f t="shared" si="38"/>
        <v>96688.23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149395.96</v>
      </c>
      <c r="I536" s="18"/>
      <c r="J536" s="18"/>
      <c r="K536" s="18"/>
      <c r="L536" s="88">
        <f>SUM(F536:K536)</f>
        <v>149395.96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149395.96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149395.96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19426.52</v>
      </c>
      <c r="I541" s="18"/>
      <c r="J541" s="18"/>
      <c r="K541" s="18"/>
      <c r="L541" s="88">
        <f>SUM(F541:K541)</f>
        <v>19426.52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19426.52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19426.52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1282791.3</v>
      </c>
      <c r="G545" s="89">
        <f t="shared" ref="G545:L545" si="41">G524+G529+G534+G539+G544</f>
        <v>489308.39</v>
      </c>
      <c r="H545" s="89">
        <f t="shared" si="41"/>
        <v>642294.32000000007</v>
      </c>
      <c r="I545" s="89">
        <f t="shared" si="41"/>
        <v>8318.9700000000012</v>
      </c>
      <c r="J545" s="89">
        <f t="shared" si="41"/>
        <v>0</v>
      </c>
      <c r="K545" s="89">
        <f t="shared" si="41"/>
        <v>2769.23</v>
      </c>
      <c r="L545" s="89">
        <f t="shared" si="41"/>
        <v>2425482.21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1874600.59</v>
      </c>
      <c r="G549" s="87">
        <f>L526</f>
        <v>285370.91000000003</v>
      </c>
      <c r="H549" s="87">
        <f>L531</f>
        <v>96688.23</v>
      </c>
      <c r="I549" s="87">
        <f>L536</f>
        <v>149395.96</v>
      </c>
      <c r="J549" s="87">
        <f>L541</f>
        <v>19426.52</v>
      </c>
      <c r="K549" s="87">
        <f>SUM(F549:J549)</f>
        <v>2425482.21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1874600.59</v>
      </c>
      <c r="G552" s="89">
        <f t="shared" si="42"/>
        <v>285370.91000000003</v>
      </c>
      <c r="H552" s="89">
        <f t="shared" si="42"/>
        <v>96688.23</v>
      </c>
      <c r="I552" s="89">
        <f t="shared" si="42"/>
        <v>149395.96</v>
      </c>
      <c r="J552" s="89">
        <f t="shared" si="42"/>
        <v>19426.52</v>
      </c>
      <c r="K552" s="89">
        <f t="shared" si="42"/>
        <v>2425482.21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22803.599999999999</v>
      </c>
      <c r="G582" s="18"/>
      <c r="H582" s="18"/>
      <c r="I582" s="87">
        <f t="shared" si="47"/>
        <v>22803.599999999999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167961.9</v>
      </c>
      <c r="G583" s="18"/>
      <c r="H583" s="18"/>
      <c r="I583" s="87">
        <f t="shared" si="47"/>
        <v>167961.9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363842.01</v>
      </c>
      <c r="I591" s="18"/>
      <c r="J591" s="18"/>
      <c r="K591" s="104">
        <f t="shared" ref="K591:K597" si="48">SUM(H591:J591)</f>
        <v>363842.01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19426.52</v>
      </c>
      <c r="I592" s="18"/>
      <c r="J592" s="18"/>
      <c r="K592" s="104">
        <f t="shared" si="48"/>
        <v>19426.52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3609.5</v>
      </c>
      <c r="I594" s="18"/>
      <c r="J594" s="18"/>
      <c r="K594" s="104">
        <f t="shared" si="48"/>
        <v>3609.5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6492.1</v>
      </c>
      <c r="I595" s="18"/>
      <c r="J595" s="18"/>
      <c r="K595" s="104">
        <f t="shared" si="48"/>
        <v>6492.1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3207.5</v>
      </c>
      <c r="I597" s="18"/>
      <c r="J597" s="18"/>
      <c r="K597" s="104">
        <f t="shared" si="48"/>
        <v>3207.5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396577.63</v>
      </c>
      <c r="I598" s="108">
        <f>SUM(I591:I597)</f>
        <v>0</v>
      </c>
      <c r="J598" s="108">
        <f>SUM(J591:J597)</f>
        <v>0</v>
      </c>
      <c r="K598" s="108">
        <f>SUM(K591:K597)</f>
        <v>396577.63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6113.63</v>
      </c>
      <c r="I603" s="18"/>
      <c r="J603" s="18"/>
      <c r="K603" s="104">
        <f>SUM(H603:J603)</f>
        <v>6113.63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75123.06-6113.63+959.06+200</f>
        <v>70168.489999999991</v>
      </c>
      <c r="I604" s="18"/>
      <c r="J604" s="18"/>
      <c r="K604" s="104">
        <f>SUM(H604:J604)</f>
        <v>70168.489999999991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76282.12</v>
      </c>
      <c r="I605" s="108">
        <f>SUM(I602:I604)</f>
        <v>0</v>
      </c>
      <c r="J605" s="108">
        <f>SUM(J602:J604)</f>
        <v>0</v>
      </c>
      <c r="K605" s="108">
        <f>SUM(K602:K604)</f>
        <v>76282.12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313245.96999999997</v>
      </c>
      <c r="H617" s="109">
        <f>SUM(F52)</f>
        <v>313245.97000000003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10641.109999999999</v>
      </c>
      <c r="H618" s="109">
        <f>SUM(G52)</f>
        <v>10641.11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9505.9699999999993</v>
      </c>
      <c r="H619" s="109">
        <f>SUM(H52)</f>
        <v>9505.9699999999993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493625.28</v>
      </c>
      <c r="H621" s="109">
        <f>SUM(J52)</f>
        <v>493625.28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230683.60000000003</v>
      </c>
      <c r="H622" s="109">
        <f>F476</f>
        <v>230683.59999999963</v>
      </c>
      <c r="I622" s="121" t="s">
        <v>101</v>
      </c>
      <c r="J622" s="109">
        <f t="shared" ref="J622:J655" si="50">G622-H622</f>
        <v>4.0745362639427185E-10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493625.28</v>
      </c>
      <c r="H626" s="109">
        <f>J476</f>
        <v>493625.28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8937597.7599999998</v>
      </c>
      <c r="H627" s="104">
        <f>SUM(F468)</f>
        <v>8937597.7599999998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172607.96</v>
      </c>
      <c r="H628" s="104">
        <f>SUM(G468)</f>
        <v>172607.96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126223</v>
      </c>
      <c r="H629" s="104">
        <f>SUM(H468)</f>
        <v>126223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238844.97</v>
      </c>
      <c r="H631" s="104">
        <f>SUM(J468)</f>
        <v>238844.97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8957595.129999999</v>
      </c>
      <c r="H632" s="104">
        <f>SUM(F472)</f>
        <v>8957595.1300000008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126222.99999999999</v>
      </c>
      <c r="H633" s="104">
        <f>SUM(H472)</f>
        <v>126223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65728.13</v>
      </c>
      <c r="H634" s="104">
        <f>I369</f>
        <v>65728.13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172607.96</v>
      </c>
      <c r="H635" s="104">
        <f>SUM(G472)</f>
        <v>172607.96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238844.97</v>
      </c>
      <c r="H637" s="164">
        <f>SUM(J468)</f>
        <v>238844.97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75000</v>
      </c>
      <c r="H638" s="164">
        <f>SUM(J472)</f>
        <v>75000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493625.28</v>
      </c>
      <c r="H640" s="104">
        <f>SUM(G461)</f>
        <v>493625.28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493625.28</v>
      </c>
      <c r="H642" s="104">
        <f>SUM(I461)</f>
        <v>493625.28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3844.97</v>
      </c>
      <c r="H644" s="104">
        <f>H408</f>
        <v>3844.9700000000003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235000</v>
      </c>
      <c r="H645" s="104">
        <f>G408</f>
        <v>235000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238844.97</v>
      </c>
      <c r="H646" s="104">
        <f>L408</f>
        <v>238844.97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396577.63</v>
      </c>
      <c r="H647" s="104">
        <f>L208+L226+L244</f>
        <v>396577.63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76282.12</v>
      </c>
      <c r="H648" s="104">
        <f>(J257+J338)-(J255+J336)</f>
        <v>76282.12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396577.63</v>
      </c>
      <c r="H649" s="104">
        <f>H598</f>
        <v>396577.63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30135.439999999999</v>
      </c>
      <c r="H652" s="104">
        <f>K263+K345</f>
        <v>30135.439999999999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235000</v>
      </c>
      <c r="H655" s="104">
        <f>K266+K347</f>
        <v>235000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8659266.1400000006</v>
      </c>
      <c r="G660" s="19">
        <f>(L229+L309+L359)</f>
        <v>0</v>
      </c>
      <c r="H660" s="19">
        <f>(L247+L328+L360)</f>
        <v>0</v>
      </c>
      <c r="I660" s="19">
        <f>SUM(F660:H660)</f>
        <v>8659266.1400000006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104643.34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104643.34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396577.63</v>
      </c>
      <c r="G662" s="19">
        <f>(L226+L306)-(J226+J306)</f>
        <v>0</v>
      </c>
      <c r="H662" s="19">
        <f>(L244+L325)-(J244+J325)</f>
        <v>0</v>
      </c>
      <c r="I662" s="19">
        <f>SUM(F662:H662)</f>
        <v>396577.63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267047.62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267047.62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7890997.5500000007</v>
      </c>
      <c r="G664" s="19">
        <f>G660-SUM(G661:G663)</f>
        <v>0</v>
      </c>
      <c r="H664" s="19">
        <f>H660-SUM(H661:H663)</f>
        <v>0</v>
      </c>
      <c r="I664" s="19">
        <f>I660-SUM(I661:I663)</f>
        <v>7890997.5500000007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367.61</v>
      </c>
      <c r="G665" s="248"/>
      <c r="H665" s="248"/>
      <c r="I665" s="19">
        <f>SUM(F665:H665)</f>
        <v>367.61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21465.68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21465.68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21465.68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21465.68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NORTH HAMPTON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2394921.86</v>
      </c>
      <c r="C9" s="229">
        <f>'DOE25'!G197+'DOE25'!G215+'DOE25'!G233+'DOE25'!G276+'DOE25'!G295+'DOE25'!G314</f>
        <v>1111555.48</v>
      </c>
    </row>
    <row r="10" spans="1:3" x14ac:dyDescent="0.2">
      <c r="A10" t="s">
        <v>773</v>
      </c>
      <c r="B10" s="240">
        <f>2314675.89+978.6+8564</f>
        <v>2324218.4900000002</v>
      </c>
      <c r="C10" s="240">
        <f>1104879.21+1192.55</f>
        <v>1106071.76</v>
      </c>
    </row>
    <row r="11" spans="1:3" x14ac:dyDescent="0.2">
      <c r="A11" t="s">
        <v>774</v>
      </c>
      <c r="B11" s="240">
        <f>15106.25</f>
        <v>15106.25</v>
      </c>
      <c r="C11" s="240">
        <v>1230.54</v>
      </c>
    </row>
    <row r="12" spans="1:3" x14ac:dyDescent="0.2">
      <c r="A12" t="s">
        <v>775</v>
      </c>
      <c r="B12" s="240">
        <f>55597.12</f>
        <v>55597.120000000003</v>
      </c>
      <c r="C12" s="240">
        <v>4253.18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2394921.8600000003</v>
      </c>
      <c r="C13" s="231">
        <f>SUM(C10:C12)</f>
        <v>1111555.48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1170671.3</v>
      </c>
      <c r="C18" s="229">
        <f>'DOE25'!G198+'DOE25'!G216+'DOE25'!G234+'DOE25'!G277+'DOE25'!G296+'DOE25'!G315</f>
        <v>432939.89</v>
      </c>
    </row>
    <row r="19" spans="1:3" x14ac:dyDescent="0.2">
      <c r="A19" t="s">
        <v>773</v>
      </c>
      <c r="B19" s="240">
        <v>597458.92000000004</v>
      </c>
      <c r="C19" s="240">
        <v>272245.08</v>
      </c>
    </row>
    <row r="20" spans="1:3" x14ac:dyDescent="0.2">
      <c r="A20" t="s">
        <v>774</v>
      </c>
      <c r="B20" s="240">
        <f>422312.48</f>
        <v>422312.48</v>
      </c>
      <c r="C20" s="240">
        <v>101265.24</v>
      </c>
    </row>
    <row r="21" spans="1:3" x14ac:dyDescent="0.2">
      <c r="A21" t="s">
        <v>775</v>
      </c>
      <c r="B21" s="240">
        <f>46605.1+24910.47+79384.33</f>
        <v>150899.90000000002</v>
      </c>
      <c r="C21" s="240">
        <f>15630.34+37026.14+6773.09</f>
        <v>59429.569999999992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1170671.3</v>
      </c>
      <c r="C22" s="231">
        <f>SUM(C19:C21)</f>
        <v>432939.89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39297.5</v>
      </c>
      <c r="C36" s="235">
        <f>'DOE25'!G200+'DOE25'!G218+'DOE25'!G236+'DOE25'!G279+'DOE25'!G298+'DOE25'!G317</f>
        <v>3006.26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>
        <v>330</v>
      </c>
      <c r="C38" s="240">
        <v>25.25</v>
      </c>
    </row>
    <row r="39" spans="1:3" x14ac:dyDescent="0.2">
      <c r="A39" t="s">
        <v>775</v>
      </c>
      <c r="B39" s="240">
        <v>38967.5</v>
      </c>
      <c r="C39" s="240">
        <v>2981.01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39297.5</v>
      </c>
      <c r="C40" s="231">
        <f>SUM(C37:C39)</f>
        <v>3006.26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NORTH HAMPTON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5821371.1899999995</v>
      </c>
      <c r="D5" s="20">
        <f>SUM('DOE25'!L197:L200)+SUM('DOE25'!L215:L218)+SUM('DOE25'!L233:L236)-F5-G5</f>
        <v>5807085.5199999996</v>
      </c>
      <c r="E5" s="243"/>
      <c r="F5" s="255">
        <f>SUM('DOE25'!J197:J200)+SUM('DOE25'!J215:J218)+SUM('DOE25'!J233:J236)</f>
        <v>6060.15</v>
      </c>
      <c r="G5" s="53">
        <f>SUM('DOE25'!K197:K200)+SUM('DOE25'!K215:K218)+SUM('DOE25'!K233:K236)</f>
        <v>8225.52</v>
      </c>
      <c r="H5" s="259"/>
    </row>
    <row r="6" spans="1:9" x14ac:dyDescent="0.2">
      <c r="A6" s="32">
        <v>2100</v>
      </c>
      <c r="B6" t="s">
        <v>795</v>
      </c>
      <c r="C6" s="245">
        <f t="shared" si="0"/>
        <v>363429.56999999995</v>
      </c>
      <c r="D6" s="20">
        <f>'DOE25'!L202+'DOE25'!L220+'DOE25'!L238-F6-G6</f>
        <v>362971.76999999996</v>
      </c>
      <c r="E6" s="243"/>
      <c r="F6" s="255">
        <f>'DOE25'!J202+'DOE25'!J220+'DOE25'!J238</f>
        <v>457.8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556711.21</v>
      </c>
      <c r="D7" s="20">
        <f>'DOE25'!L203+'DOE25'!L221+'DOE25'!L239-F7-G7</f>
        <v>499659.17999999993</v>
      </c>
      <c r="E7" s="243"/>
      <c r="F7" s="255">
        <f>'DOE25'!J203+'DOE25'!J221+'DOE25'!J239</f>
        <v>55302.03</v>
      </c>
      <c r="G7" s="53">
        <f>'DOE25'!K203+'DOE25'!K221+'DOE25'!K239</f>
        <v>1750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142435.41999999998</v>
      </c>
      <c r="D8" s="243"/>
      <c r="E8" s="20">
        <f>'DOE25'!L204+'DOE25'!L222+'DOE25'!L240-F8-G8-D9-D11</f>
        <v>137463.78999999998</v>
      </c>
      <c r="F8" s="255">
        <f>'DOE25'!J204+'DOE25'!J222+'DOE25'!J240</f>
        <v>0</v>
      </c>
      <c r="G8" s="53">
        <f>'DOE25'!K204+'DOE25'!K222+'DOE25'!K240</f>
        <v>4971.63</v>
      </c>
      <c r="H8" s="259"/>
    </row>
    <row r="9" spans="1:9" x14ac:dyDescent="0.2">
      <c r="A9" s="32">
        <v>2310</v>
      </c>
      <c r="B9" t="s">
        <v>812</v>
      </c>
      <c r="C9" s="245">
        <f t="shared" si="0"/>
        <v>43174.41</v>
      </c>
      <c r="D9" s="244">
        <v>43174.41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8200</v>
      </c>
      <c r="D10" s="243"/>
      <c r="E10" s="244">
        <v>8200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71871.3</v>
      </c>
      <c r="D11" s="244">
        <v>71871.3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343782.58</v>
      </c>
      <c r="D12" s="20">
        <f>'DOE25'!L205+'DOE25'!L223+'DOE25'!L241-F12-G12</f>
        <v>340782.58</v>
      </c>
      <c r="E12" s="243"/>
      <c r="F12" s="255">
        <f>'DOE25'!J205+'DOE25'!J223+'DOE25'!J241</f>
        <v>0</v>
      </c>
      <c r="G12" s="53">
        <f>'DOE25'!K205+'DOE25'!K223+'DOE25'!K241</f>
        <v>3000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620502.88</v>
      </c>
      <c r="D14" s="20">
        <f>'DOE25'!L207+'DOE25'!L225+'DOE25'!L243-F14-G14</f>
        <v>606040.74</v>
      </c>
      <c r="E14" s="243"/>
      <c r="F14" s="255">
        <f>'DOE25'!J207+'DOE25'!J225+'DOE25'!J243</f>
        <v>14462.14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396577.63</v>
      </c>
      <c r="D15" s="20">
        <f>'DOE25'!L208+'DOE25'!L226+'DOE25'!L244-F15-G15</f>
        <v>396577.63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762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762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197279</v>
      </c>
      <c r="D22" s="243"/>
      <c r="E22" s="243"/>
      <c r="F22" s="255">
        <f>'DOE25'!L255+'DOE25'!L336</f>
        <v>197279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134562.5</v>
      </c>
      <c r="D25" s="243"/>
      <c r="E25" s="243"/>
      <c r="F25" s="258"/>
      <c r="G25" s="256"/>
      <c r="H25" s="257">
        <f>'DOE25'!L260+'DOE25'!L261+'DOE25'!L341+'DOE25'!L342</f>
        <v>134562.5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111705.85</v>
      </c>
      <c r="D29" s="20">
        <f>'DOE25'!L358+'DOE25'!L359+'DOE25'!L360-'DOE25'!I367-F29-G29</f>
        <v>105896.13</v>
      </c>
      <c r="E29" s="243"/>
      <c r="F29" s="255">
        <f>'DOE25'!J358+'DOE25'!J359+'DOE25'!J360</f>
        <v>4359.32</v>
      </c>
      <c r="G29" s="53">
        <f>'DOE25'!K358+'DOE25'!K359+'DOE25'!K360</f>
        <v>1450.4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126039.98999999999</v>
      </c>
      <c r="D31" s="20">
        <f>'DOE25'!L290+'DOE25'!L309+'DOE25'!L328+'DOE25'!L333+'DOE25'!L334+'DOE25'!L335-F31-G31</f>
        <v>123542.07999999999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2497.91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8357601.3399999989</v>
      </c>
      <c r="E33" s="246">
        <f>SUM(E5:E31)</f>
        <v>145663.78999999998</v>
      </c>
      <c r="F33" s="246">
        <f>SUM(F5:F31)</f>
        <v>277920.44</v>
      </c>
      <c r="G33" s="246">
        <f>SUM(G5:G31)</f>
        <v>22657.460000000003</v>
      </c>
      <c r="H33" s="246">
        <f>SUM(H5:H31)</f>
        <v>134562.5</v>
      </c>
    </row>
    <row r="35" spans="2:8" ht="12" thickBot="1" x14ac:dyDescent="0.25">
      <c r="B35" s="253" t="s">
        <v>841</v>
      </c>
      <c r="D35" s="254">
        <f>E33</f>
        <v>145663.78999999998</v>
      </c>
      <c r="E35" s="249"/>
    </row>
    <row r="36" spans="2:8" ht="12" thickTop="1" x14ac:dyDescent="0.2">
      <c r="B36" t="s">
        <v>809</v>
      </c>
      <c r="D36" s="20">
        <f>D33</f>
        <v>8357601.3399999989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 HAMPTON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182752.53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493625.28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12938.39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1334.98</v>
      </c>
      <c r="D12" s="95">
        <f>'DOE25'!G13</f>
        <v>1710.97</v>
      </c>
      <c r="E12" s="95">
        <f>'DOE25'!H13</f>
        <v>9505.9699999999993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4317.22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8930.14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111902.85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313245.96999999997</v>
      </c>
      <c r="D18" s="41">
        <f>SUM(D8:D17)</f>
        <v>10641.109999999999</v>
      </c>
      <c r="E18" s="41">
        <f>SUM(E8:E17)</f>
        <v>9505.9699999999993</v>
      </c>
      <c r="F18" s="41">
        <f>SUM(F8:F17)</f>
        <v>0</v>
      </c>
      <c r="G18" s="41">
        <f>SUM(G8:G17)</f>
        <v>493625.28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3448.98</v>
      </c>
      <c r="E22" s="95">
        <f>'DOE25'!H23</f>
        <v>9489.41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29665.19</v>
      </c>
      <c r="D23" s="95">
        <f>'DOE25'!G24</f>
        <v>756.89</v>
      </c>
      <c r="E23" s="95">
        <f>'DOE25'!H24</f>
        <v>16.559999999999999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5146.07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47751.11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6435.24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82562.37</v>
      </c>
      <c r="D31" s="41">
        <f>SUM(D21:D30)</f>
        <v>10641.11</v>
      </c>
      <c r="E31" s="41">
        <f>SUM(E21:E30)</f>
        <v>9505.9699999999993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8930.14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111902.85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-8930.14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14697.17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493625.28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3571.82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511.76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230683.60000000003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493625.28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313245.97000000003</v>
      </c>
      <c r="D51" s="41">
        <f>D50+D31</f>
        <v>10641.11</v>
      </c>
      <c r="E51" s="41">
        <f>E50+E31</f>
        <v>9505.9699999999993</v>
      </c>
      <c r="F51" s="41">
        <f>F50+F31</f>
        <v>0</v>
      </c>
      <c r="G51" s="41">
        <f>G50+G31</f>
        <v>493625.28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6878718.4800000004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43477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1982.17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3844.97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104643.34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806.19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46265.36</v>
      </c>
      <c r="D62" s="130">
        <f>SUM(D57:D61)</f>
        <v>104643.34</v>
      </c>
      <c r="E62" s="130">
        <f>SUM(E57:E61)</f>
        <v>0</v>
      </c>
      <c r="F62" s="130">
        <f>SUM(F57:F61)</f>
        <v>0</v>
      </c>
      <c r="G62" s="130">
        <f>SUM(G57:G61)</f>
        <v>3844.97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6924983.8400000008</v>
      </c>
      <c r="D63" s="22">
        <f>D56+D62</f>
        <v>104643.34</v>
      </c>
      <c r="E63" s="22">
        <f>E56+E62</f>
        <v>0</v>
      </c>
      <c r="F63" s="22">
        <f>F56+F62</f>
        <v>0</v>
      </c>
      <c r="G63" s="22">
        <f>G56+G62</f>
        <v>3844.97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1825386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1825386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61394.55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2208.65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61394.55</v>
      </c>
      <c r="D78" s="130">
        <f>SUM(D72:D77)</f>
        <v>2208.65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1886780.55</v>
      </c>
      <c r="D81" s="130">
        <f>SUM(D79:D80)+D78+D70</f>
        <v>2208.65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25950.63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24882.74</v>
      </c>
      <c r="D88" s="95">
        <f>SUM('DOE25'!G153:G161)</f>
        <v>22995.11</v>
      </c>
      <c r="E88" s="95">
        <f>SUM('DOE25'!H153:H161)</f>
        <v>126223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12625.42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50833.37</v>
      </c>
      <c r="D91" s="131">
        <f>SUM(D85:D90)</f>
        <v>35620.53</v>
      </c>
      <c r="E91" s="131">
        <f>SUM(E85:E90)</f>
        <v>126223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30135.439999999999</v>
      </c>
      <c r="E96" s="95">
        <f>'DOE25'!H179</f>
        <v>0</v>
      </c>
      <c r="F96" s="95">
        <f>'DOE25'!I179</f>
        <v>0</v>
      </c>
      <c r="G96" s="95">
        <f>'DOE25'!J179</f>
        <v>235000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75000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75000</v>
      </c>
      <c r="D103" s="86">
        <f>SUM(D93:D102)</f>
        <v>30135.439999999999</v>
      </c>
      <c r="E103" s="86">
        <f>SUM(E93:E102)</f>
        <v>0</v>
      </c>
      <c r="F103" s="86">
        <f>SUM(F93:F102)</f>
        <v>0</v>
      </c>
      <c r="G103" s="86">
        <f>SUM(G93:G102)</f>
        <v>235000</v>
      </c>
    </row>
    <row r="104" spans="1:7" ht="12.75" thickTop="1" thickBot="1" x14ac:dyDescent="0.25">
      <c r="A104" s="33" t="s">
        <v>759</v>
      </c>
      <c r="C104" s="86">
        <f>C63+C81+C91+C103</f>
        <v>8937597.7599999998</v>
      </c>
      <c r="D104" s="86">
        <f>D63+D81+D91+D103</f>
        <v>172607.96</v>
      </c>
      <c r="E104" s="86">
        <f>E63+E81+E91+E103</f>
        <v>126223</v>
      </c>
      <c r="F104" s="86">
        <f>F63+F81+F91+F103</f>
        <v>0</v>
      </c>
      <c r="G104" s="86">
        <f>G63+G81+G103</f>
        <v>238844.97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3583121.4499999993</v>
      </c>
      <c r="D109" s="24" t="s">
        <v>286</v>
      </c>
      <c r="E109" s="95">
        <f>('DOE25'!L276)+('DOE25'!L295)+('DOE25'!L314)</f>
        <v>22202.62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2132416.4900000002</v>
      </c>
      <c r="D110" s="24" t="s">
        <v>286</v>
      </c>
      <c r="E110" s="95">
        <f>('DOE25'!L277)+('DOE25'!L296)+('DOE25'!L315)</f>
        <v>97868.61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105833.25</v>
      </c>
      <c r="D112" s="24" t="s">
        <v>286</v>
      </c>
      <c r="E112" s="95">
        <f>+('DOE25'!L279)+('DOE25'!L298)+('DOE25'!L317)</f>
        <v>1144.25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183.01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5821371.1899999995</v>
      </c>
      <c r="D115" s="86">
        <f>SUM(D109:D114)</f>
        <v>0</v>
      </c>
      <c r="E115" s="86">
        <f>SUM(E109:E114)</f>
        <v>121398.48999999999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363429.56999999995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556711.21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257481.13</v>
      </c>
      <c r="D120" s="24" t="s">
        <v>286</v>
      </c>
      <c r="E120" s="95">
        <f>+('DOE25'!L283)+('DOE25'!L302)+('DOE25'!L321)</f>
        <v>4824.51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343782.58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620502.88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396577.63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762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172607.96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2539247</v>
      </c>
      <c r="D128" s="86">
        <f>SUM(D118:D127)</f>
        <v>172607.96</v>
      </c>
      <c r="E128" s="86">
        <f>SUM(E118:E127)</f>
        <v>4824.51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197279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95000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39562.5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75000</v>
      </c>
    </row>
    <row r="135" spans="1:7" x14ac:dyDescent="0.2">
      <c r="A135" t="s">
        <v>233</v>
      </c>
      <c r="B135" s="32" t="s">
        <v>234</v>
      </c>
      <c r="C135" s="95">
        <f>'DOE25'!L263</f>
        <v>30135.439999999999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1.84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238843.13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-3844.9700000000012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596976.94000000006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75000</v>
      </c>
    </row>
    <row r="145" spans="1:9" ht="12.75" thickTop="1" thickBot="1" x14ac:dyDescent="0.25">
      <c r="A145" s="33" t="s">
        <v>244</v>
      </c>
      <c r="C145" s="86">
        <f>(C115+C128+C144)</f>
        <v>8957595.129999999</v>
      </c>
      <c r="D145" s="86">
        <f>(D115+D128+D144)</f>
        <v>172607.96</v>
      </c>
      <c r="E145" s="86">
        <f>(E115+E128+E144)</f>
        <v>126222.99999999999</v>
      </c>
      <c r="F145" s="86">
        <f>(F115+F128+F144)</f>
        <v>0</v>
      </c>
      <c r="G145" s="86">
        <f>(G115+G128+G144)</f>
        <v>75000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August 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August 2023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2.61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785000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785000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134562.5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134562.5</v>
      </c>
    </row>
    <row r="159" spans="1:9" x14ac:dyDescent="0.2">
      <c r="A159" s="22" t="s">
        <v>35</v>
      </c>
      <c r="B159" s="137">
        <f>'DOE25'!F498</f>
        <v>690000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690000</v>
      </c>
    </row>
    <row r="160" spans="1:9" x14ac:dyDescent="0.2">
      <c r="A160" s="22" t="s">
        <v>36</v>
      </c>
      <c r="B160" s="137">
        <f>'DOE25'!F499</f>
        <v>116361.25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116361.25</v>
      </c>
    </row>
    <row r="161" spans="1:7" x14ac:dyDescent="0.2">
      <c r="A161" s="22" t="s">
        <v>37</v>
      </c>
      <c r="B161" s="137">
        <f>'DOE25'!F500</f>
        <v>806361.25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806361.25</v>
      </c>
    </row>
    <row r="162" spans="1:7" x14ac:dyDescent="0.2">
      <c r="A162" s="22" t="s">
        <v>38</v>
      </c>
      <c r="B162" s="137">
        <f>'DOE25'!F501</f>
        <v>100000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100000</v>
      </c>
    </row>
    <row r="163" spans="1:7" x14ac:dyDescent="0.2">
      <c r="A163" s="22" t="s">
        <v>39</v>
      </c>
      <c r="B163" s="137">
        <f>'DOE25'!F502</f>
        <v>34102.5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34102.5</v>
      </c>
    </row>
    <row r="164" spans="1:7" x14ac:dyDescent="0.2">
      <c r="A164" s="22" t="s">
        <v>246</v>
      </c>
      <c r="B164" s="137">
        <f>'DOE25'!F503</f>
        <v>134102.5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134102.5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NORTH HAMPTON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21466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21466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3605324</v>
      </c>
      <c r="D10" s="182">
        <f>ROUND((C10/$C$28)*100,1)</f>
        <v>41.9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2230285</v>
      </c>
      <c r="D11" s="182">
        <f>ROUND((C11/$C$28)*100,1)</f>
        <v>26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106978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363430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556711</v>
      </c>
      <c r="D16" s="182">
        <f t="shared" si="0"/>
        <v>6.5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263068</v>
      </c>
      <c r="D17" s="182">
        <f t="shared" si="0"/>
        <v>3.1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343783</v>
      </c>
      <c r="D18" s="182">
        <f t="shared" si="0"/>
        <v>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620503</v>
      </c>
      <c r="D20" s="182">
        <f t="shared" si="0"/>
        <v>7.2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396578</v>
      </c>
      <c r="D21" s="182">
        <f t="shared" si="0"/>
        <v>4.5999999999999996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183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39563</v>
      </c>
      <c r="D25" s="182">
        <f t="shared" si="0"/>
        <v>0.5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67964.66</v>
      </c>
      <c r="D27" s="182">
        <f t="shared" si="0"/>
        <v>0.8</v>
      </c>
    </row>
    <row r="28" spans="1:4" x14ac:dyDescent="0.2">
      <c r="B28" s="187" t="s">
        <v>717</v>
      </c>
      <c r="C28" s="180">
        <f>SUM(C10:C27)</f>
        <v>8594370.6600000001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197279</v>
      </c>
    </row>
    <row r="30" spans="1:4" x14ac:dyDescent="0.2">
      <c r="B30" s="187" t="s">
        <v>723</v>
      </c>
      <c r="C30" s="180">
        <f>SUM(C28:C29)</f>
        <v>8791649.6600000001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95000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6878718</v>
      </c>
      <c r="D35" s="182">
        <f t="shared" ref="D35:D40" si="1">ROUND((C35/$C$41)*100,1)</f>
        <v>76.2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50110.810000000522</v>
      </c>
      <c r="D36" s="182">
        <f t="shared" si="1"/>
        <v>0.6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1825386</v>
      </c>
      <c r="D37" s="182">
        <f t="shared" si="1"/>
        <v>20.2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63603</v>
      </c>
      <c r="D38" s="182">
        <f t="shared" si="1"/>
        <v>0.7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212677</v>
      </c>
      <c r="D39" s="182">
        <f t="shared" si="1"/>
        <v>2.4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9030494.8100000005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NORTH HAMPTON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2018-08-27T18:48:59Z</cp:lastPrinted>
  <dcterms:created xsi:type="dcterms:W3CDTF">1997-12-04T19:04:30Z</dcterms:created>
  <dcterms:modified xsi:type="dcterms:W3CDTF">2018-11-30T17:59:23Z</dcterms:modified>
</cp:coreProperties>
</file>