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17970" windowHeight="6135" tabRatio="855" activeTab="1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468" i="1" l="1"/>
  <c r="H400" i="1"/>
  <c r="F198" i="1"/>
  <c r="F234" i="1"/>
  <c r="F579" i="1"/>
  <c r="G611" i="1"/>
  <c r="F611" i="1"/>
  <c r="G197" i="1"/>
  <c r="G97" i="1"/>
  <c r="G22" i="1"/>
  <c r="F12" i="1"/>
  <c r="F110" i="1" l="1"/>
  <c r="H207" i="1"/>
  <c r="G207" i="1"/>
  <c r="F207" i="1"/>
  <c r="J207" i="1"/>
  <c r="I207" i="1"/>
  <c r="K202" i="1"/>
  <c r="H358" i="1" l="1"/>
  <c r="H208" i="1"/>
  <c r="G208" i="1"/>
  <c r="F208" i="1"/>
  <c r="K205" i="1"/>
  <c r="J205" i="1"/>
  <c r="H205" i="1"/>
  <c r="K203" i="1"/>
  <c r="J203" i="1"/>
  <c r="I203" i="1"/>
  <c r="H203" i="1"/>
  <c r="G203" i="1"/>
  <c r="F203" i="1"/>
  <c r="H202" i="1"/>
  <c r="J202" i="1"/>
  <c r="I202" i="1"/>
  <c r="G202" i="1"/>
  <c r="F202" i="1"/>
  <c r="I200" i="1"/>
  <c r="G200" i="1"/>
  <c r="F200" i="1"/>
  <c r="H200" i="1"/>
  <c r="K198" i="1"/>
  <c r="H198" i="1"/>
  <c r="H244" i="1"/>
  <c r="H234" i="1"/>
  <c r="F2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E16" i="13" s="1"/>
  <c r="C16" i="13" s="1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C114" i="2" s="1"/>
  <c r="F19" i="13"/>
  <c r="G19" i="13"/>
  <c r="L253" i="1"/>
  <c r="D19" i="13" s="1"/>
  <c r="C19" i="13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E124" i="2" s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56" i="2" s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E85" i="2" s="1"/>
  <c r="H162" i="1"/>
  <c r="I147" i="1"/>
  <c r="I162" i="1"/>
  <c r="C11" i="10"/>
  <c r="L250" i="1"/>
  <c r="L332" i="1"/>
  <c r="L254" i="1"/>
  <c r="L268" i="1"/>
  <c r="C142" i="2" s="1"/>
  <c r="L269" i="1"/>
  <c r="L349" i="1"/>
  <c r="L350" i="1"/>
  <c r="E143" i="2" s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E137" i="2" s="1"/>
  <c r="L347" i="1"/>
  <c r="K351" i="1"/>
  <c r="L521" i="1"/>
  <c r="F549" i="1" s="1"/>
  <c r="L522" i="1"/>
  <c r="F550" i="1" s="1"/>
  <c r="K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D18" i="2" s="1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3" i="2"/>
  <c r="E113" i="2"/>
  <c r="D115" i="2"/>
  <c r="F115" i="2"/>
  <c r="G115" i="2"/>
  <c r="E119" i="2"/>
  <c r="E120" i="2"/>
  <c r="E121" i="2"/>
  <c r="E123" i="2"/>
  <c r="E125" i="2"/>
  <c r="F128" i="2"/>
  <c r="G128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H461" i="1"/>
  <c r="H641" i="1" s="1"/>
  <c r="H470" i="1"/>
  <c r="I470" i="1"/>
  <c r="J470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2" i="1"/>
  <c r="G623" i="1"/>
  <c r="H629" i="1"/>
  <c r="H630" i="1"/>
  <c r="H631" i="1"/>
  <c r="H633" i="1"/>
  <c r="H636" i="1"/>
  <c r="H637" i="1"/>
  <c r="H638" i="1"/>
  <c r="G641" i="1"/>
  <c r="G643" i="1"/>
  <c r="G644" i="1"/>
  <c r="G650" i="1"/>
  <c r="G651" i="1"/>
  <c r="G652" i="1"/>
  <c r="H652" i="1"/>
  <c r="G653" i="1"/>
  <c r="H653" i="1"/>
  <c r="G654" i="1"/>
  <c r="H654" i="1"/>
  <c r="H655" i="1"/>
  <c r="C26" i="10"/>
  <c r="D17" i="13"/>
  <c r="C17" i="13" s="1"/>
  <c r="G62" i="2"/>
  <c r="E78" i="2"/>
  <c r="I169" i="1"/>
  <c r="G338" i="1"/>
  <c r="G352" i="1" s="1"/>
  <c r="J140" i="1"/>
  <c r="G22" i="2"/>
  <c r="H140" i="1"/>
  <c r="F338" i="1"/>
  <c r="F352" i="1" s="1"/>
  <c r="G192" i="1"/>
  <c r="G36" i="2"/>
  <c r="A13" i="12" l="1"/>
  <c r="I446" i="1"/>
  <c r="G642" i="1" s="1"/>
  <c r="J644" i="1"/>
  <c r="L529" i="1"/>
  <c r="J552" i="1"/>
  <c r="H545" i="1"/>
  <c r="K551" i="1"/>
  <c r="F552" i="1"/>
  <c r="C110" i="2"/>
  <c r="D62" i="2"/>
  <c r="D63" i="2" s="1"/>
  <c r="L270" i="1"/>
  <c r="E62" i="2"/>
  <c r="L393" i="1"/>
  <c r="C138" i="2" s="1"/>
  <c r="H192" i="1"/>
  <c r="F81" i="2"/>
  <c r="L570" i="1"/>
  <c r="G661" i="1"/>
  <c r="D50" i="2"/>
  <c r="L328" i="1"/>
  <c r="J641" i="1"/>
  <c r="L544" i="1"/>
  <c r="J476" i="1"/>
  <c r="H626" i="1" s="1"/>
  <c r="E103" i="2"/>
  <c r="C91" i="2"/>
  <c r="E112" i="2"/>
  <c r="L614" i="1"/>
  <c r="H571" i="1"/>
  <c r="I476" i="1"/>
  <c r="H625" i="1" s="1"/>
  <c r="H112" i="1"/>
  <c r="H193" i="1" s="1"/>
  <c r="G629" i="1" s="1"/>
  <c r="J629" i="1" s="1"/>
  <c r="J651" i="1"/>
  <c r="L524" i="1"/>
  <c r="H52" i="1"/>
  <c r="H619" i="1" s="1"/>
  <c r="C32" i="10"/>
  <c r="D29" i="13"/>
  <c r="C29" i="13" s="1"/>
  <c r="C16" i="10"/>
  <c r="C112" i="2"/>
  <c r="K605" i="1"/>
  <c r="G648" i="1" s="1"/>
  <c r="J634" i="1"/>
  <c r="J655" i="1"/>
  <c r="J640" i="1"/>
  <c r="F461" i="1"/>
  <c r="H639" i="1" s="1"/>
  <c r="J639" i="1" s="1"/>
  <c r="L362" i="1"/>
  <c r="C62" i="2"/>
  <c r="C63" i="2" s="1"/>
  <c r="D14" i="13"/>
  <c r="C14" i="13" s="1"/>
  <c r="C119" i="2"/>
  <c r="D7" i="13"/>
  <c r="C7" i="13" s="1"/>
  <c r="H257" i="1"/>
  <c r="H271" i="1" s="1"/>
  <c r="L211" i="1"/>
  <c r="E8" i="13"/>
  <c r="C8" i="13" s="1"/>
  <c r="F257" i="1"/>
  <c r="F271" i="1" s="1"/>
  <c r="D5" i="13"/>
  <c r="C5" i="13" s="1"/>
  <c r="D31" i="2"/>
  <c r="J625" i="1"/>
  <c r="J617" i="1"/>
  <c r="C10" i="10"/>
  <c r="C21" i="10"/>
  <c r="C124" i="2"/>
  <c r="D15" i="13"/>
  <c r="C15" i="13" s="1"/>
  <c r="H647" i="1"/>
  <c r="F662" i="1"/>
  <c r="I662" i="1" s="1"/>
  <c r="D12" i="13"/>
  <c r="C12" i="13" s="1"/>
  <c r="C122" i="2"/>
  <c r="C19" i="10"/>
  <c r="C35" i="10"/>
  <c r="L290" i="1"/>
  <c r="L338" i="1" s="1"/>
  <c r="L565" i="1"/>
  <c r="L419" i="1"/>
  <c r="H338" i="1"/>
  <c r="H352" i="1" s="1"/>
  <c r="J257" i="1"/>
  <c r="J271" i="1" s="1"/>
  <c r="I52" i="1"/>
  <c r="H620" i="1" s="1"/>
  <c r="J620" i="1" s="1"/>
  <c r="G625" i="1"/>
  <c r="B164" i="2"/>
  <c r="K503" i="1"/>
  <c r="C123" i="2"/>
  <c r="E109" i="2"/>
  <c r="H169" i="1"/>
  <c r="L401" i="1"/>
  <c r="C139" i="2" s="1"/>
  <c r="D127" i="2"/>
  <c r="D128" i="2" s="1"/>
  <c r="D145" i="2" s="1"/>
  <c r="C18" i="10"/>
  <c r="L247" i="1"/>
  <c r="H660" i="1" s="1"/>
  <c r="L229" i="1"/>
  <c r="C17" i="10"/>
  <c r="E118" i="2"/>
  <c r="H661" i="1"/>
  <c r="F661" i="1"/>
  <c r="F22" i="13"/>
  <c r="C22" i="13" s="1"/>
  <c r="G649" i="1"/>
  <c r="J649" i="1" s="1"/>
  <c r="I460" i="1"/>
  <c r="I461" i="1" s="1"/>
  <c r="H642" i="1" s="1"/>
  <c r="C29" i="10"/>
  <c r="D18" i="13"/>
  <c r="C18" i="13" s="1"/>
  <c r="H476" i="1"/>
  <c r="H624" i="1" s="1"/>
  <c r="I257" i="1"/>
  <c r="I271" i="1" s="1"/>
  <c r="C132" i="2"/>
  <c r="K549" i="1"/>
  <c r="G552" i="1"/>
  <c r="L351" i="1"/>
  <c r="F130" i="2"/>
  <c r="F144" i="2" s="1"/>
  <c r="F145" i="2" s="1"/>
  <c r="E63" i="2"/>
  <c r="E122" i="2"/>
  <c r="C118" i="2"/>
  <c r="D6" i="13"/>
  <c r="C6" i="13" s="1"/>
  <c r="C15" i="10"/>
  <c r="C12" i="10"/>
  <c r="C111" i="2"/>
  <c r="F112" i="1"/>
  <c r="E13" i="13"/>
  <c r="C13" i="13" s="1"/>
  <c r="C121" i="2"/>
  <c r="C18" i="2"/>
  <c r="H552" i="1"/>
  <c r="C20" i="10"/>
  <c r="C13" i="10"/>
  <c r="L534" i="1"/>
  <c r="L433" i="1"/>
  <c r="L427" i="1"/>
  <c r="L434" i="1" s="1"/>
  <c r="G638" i="1" s="1"/>
  <c r="J638" i="1" s="1"/>
  <c r="L382" i="1"/>
  <c r="G636" i="1" s="1"/>
  <c r="J636" i="1" s="1"/>
  <c r="K352" i="1"/>
  <c r="L256" i="1"/>
  <c r="K257" i="1"/>
  <c r="K271" i="1" s="1"/>
  <c r="G257" i="1"/>
  <c r="G271" i="1" s="1"/>
  <c r="F192" i="1"/>
  <c r="G164" i="2"/>
  <c r="G157" i="2"/>
  <c r="G156" i="2"/>
  <c r="H25" i="13"/>
  <c r="F169" i="1"/>
  <c r="E81" i="2"/>
  <c r="G645" i="1"/>
  <c r="J643" i="1"/>
  <c r="K598" i="1"/>
  <c r="G647" i="1" s="1"/>
  <c r="J647" i="1" s="1"/>
  <c r="I571" i="1"/>
  <c r="J571" i="1"/>
  <c r="F571" i="1"/>
  <c r="K571" i="1"/>
  <c r="L560" i="1"/>
  <c r="L539" i="1"/>
  <c r="K545" i="1"/>
  <c r="G545" i="1"/>
  <c r="J545" i="1"/>
  <c r="I545" i="1"/>
  <c r="J338" i="1"/>
  <c r="J352" i="1" s="1"/>
  <c r="C120" i="2"/>
  <c r="C70" i="2"/>
  <c r="J645" i="1"/>
  <c r="G624" i="1"/>
  <c r="K500" i="1"/>
  <c r="C78" i="2"/>
  <c r="C81" i="2" s="1"/>
  <c r="G112" i="1"/>
  <c r="J624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G169" i="1"/>
  <c r="C39" i="10" s="1"/>
  <c r="G140" i="1"/>
  <c r="F140" i="1"/>
  <c r="G63" i="2"/>
  <c r="J618" i="1"/>
  <c r="G42" i="2"/>
  <c r="G50" i="2" s="1"/>
  <c r="G51" i="2" s="1"/>
  <c r="J51" i="1"/>
  <c r="G16" i="2"/>
  <c r="G18" i="2" s="1"/>
  <c r="J19" i="1"/>
  <c r="G621" i="1" s="1"/>
  <c r="F545" i="1"/>
  <c r="H434" i="1"/>
  <c r="J619" i="1"/>
  <c r="D103" i="2"/>
  <c r="I140" i="1"/>
  <c r="I193" i="1" s="1"/>
  <c r="G630" i="1" s="1"/>
  <c r="J630" i="1" s="1"/>
  <c r="A22" i="12"/>
  <c r="J652" i="1"/>
  <c r="G571" i="1"/>
  <c r="I434" i="1"/>
  <c r="G434" i="1"/>
  <c r="I663" i="1"/>
  <c r="C27" i="10"/>
  <c r="J642" i="1" l="1"/>
  <c r="K552" i="1"/>
  <c r="C115" i="2"/>
  <c r="G664" i="1"/>
  <c r="G672" i="1" s="1"/>
  <c r="C5" i="10" s="1"/>
  <c r="D104" i="2"/>
  <c r="E104" i="2"/>
  <c r="D51" i="2"/>
  <c r="L571" i="1"/>
  <c r="G635" i="1"/>
  <c r="G472" i="1"/>
  <c r="L545" i="1"/>
  <c r="E115" i="2"/>
  <c r="H664" i="1"/>
  <c r="H667" i="1" s="1"/>
  <c r="C36" i="10"/>
  <c r="F193" i="1"/>
  <c r="E33" i="13"/>
  <c r="D35" i="13" s="1"/>
  <c r="H648" i="1"/>
  <c r="J648" i="1" s="1"/>
  <c r="F660" i="1"/>
  <c r="F664" i="1" s="1"/>
  <c r="C128" i="2"/>
  <c r="C145" i="2" s="1"/>
  <c r="C28" i="10"/>
  <c r="D24" i="10" s="1"/>
  <c r="C104" i="2"/>
  <c r="E128" i="2"/>
  <c r="E145" i="2" s="1"/>
  <c r="D31" i="13"/>
  <c r="C31" i="13" s="1"/>
  <c r="L352" i="1"/>
  <c r="G633" i="1" s="1"/>
  <c r="J633" i="1" s="1"/>
  <c r="L257" i="1"/>
  <c r="L271" i="1" s="1"/>
  <c r="L408" i="1"/>
  <c r="C25" i="13"/>
  <c r="H33" i="13"/>
  <c r="I661" i="1"/>
  <c r="F33" i="13"/>
  <c r="G104" i="2"/>
  <c r="C51" i="2"/>
  <c r="G631" i="1"/>
  <c r="J631" i="1" s="1"/>
  <c r="G193" i="1"/>
  <c r="G626" i="1"/>
  <c r="J626" i="1" s="1"/>
  <c r="J52" i="1"/>
  <c r="H621" i="1" s="1"/>
  <c r="J621" i="1" s="1"/>
  <c r="C38" i="10"/>
  <c r="H672" i="1" l="1"/>
  <c r="C6" i="10" s="1"/>
  <c r="G667" i="1"/>
  <c r="D33" i="13"/>
  <c r="D36" i="13" s="1"/>
  <c r="H635" i="1"/>
  <c r="J635" i="1" s="1"/>
  <c r="G474" i="1"/>
  <c r="G627" i="1"/>
  <c r="F468" i="1"/>
  <c r="G632" i="1"/>
  <c r="F472" i="1"/>
  <c r="G628" i="1"/>
  <c r="G468" i="1"/>
  <c r="I660" i="1"/>
  <c r="I664" i="1" s="1"/>
  <c r="I672" i="1" s="1"/>
  <c r="C7" i="10" s="1"/>
  <c r="D23" i="10"/>
  <c r="D17" i="10"/>
  <c r="D11" i="10"/>
  <c r="D27" i="10"/>
  <c r="D13" i="10"/>
  <c r="D21" i="10"/>
  <c r="D18" i="10"/>
  <c r="D12" i="10"/>
  <c r="D22" i="10"/>
  <c r="D16" i="10"/>
  <c r="D10" i="10"/>
  <c r="D26" i="10"/>
  <c r="C30" i="10"/>
  <c r="D20" i="10"/>
  <c r="D15" i="10"/>
  <c r="D25" i="10"/>
  <c r="D19" i="10"/>
  <c r="G637" i="1"/>
  <c r="J637" i="1" s="1"/>
  <c r="H646" i="1"/>
  <c r="J646" i="1" s="1"/>
  <c r="F672" i="1"/>
  <c r="C4" i="10" s="1"/>
  <c r="F667" i="1"/>
  <c r="C41" i="10"/>
  <c r="D38" i="10" s="1"/>
  <c r="F470" i="1" l="1"/>
  <c r="H627" i="1"/>
  <c r="J627" i="1"/>
  <c r="H632" i="1"/>
  <c r="J632" i="1" s="1"/>
  <c r="F474" i="1"/>
  <c r="F476" i="1" s="1"/>
  <c r="H622" i="1" s="1"/>
  <c r="J622" i="1" s="1"/>
  <c r="G470" i="1"/>
  <c r="G476" i="1" s="1"/>
  <c r="H623" i="1" s="1"/>
  <c r="H628" i="1"/>
  <c r="J628" i="1"/>
  <c r="I667" i="1"/>
  <c r="D28" i="10"/>
  <c r="D37" i="10"/>
  <c r="D36" i="10"/>
  <c r="D35" i="10"/>
  <c r="D40" i="10"/>
  <c r="D39" i="10"/>
  <c r="J623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<sst xmlns="http://schemas.openxmlformats.org/spreadsheetml/2006/main" count="3957" uniqueCount="913">
  <si>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</si>
  <si>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</si>
  <si>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</si>
  <si>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</si>
  <si>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</si>
  <si>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</si>
  <si>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</si>
  <si>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</si>
  <si>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</si>
  <si>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</si>
  <si>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</si>
  <si>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</si>
  <si>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</si>
  <si>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</si>
  <si>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</si>
  <si>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</si>
  <si>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</si>
  <si>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</si>
  <si>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</si>
  <si>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</si>
  <si>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</si>
  <si>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</si>
  <si>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</si>
  <si>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</si>
  <si>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</si>
  <si>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</si>
  <si>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</si>
  <si>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</si>
  <si>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</si>
  <si>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</si>
  <si>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</si>
  <si>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</si>
  <si>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</si>
  <si>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</si>
  <si>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</si>
  <si>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</si>
  <si>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</si>
  <si>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</si>
  <si>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</si>
  <si>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</si>
  <si>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</si>
  <si>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</si>
  <si>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</si>
  <si>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</si>
  <si>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</si>
  <si>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</si>
  <si>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</si>
  <si>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</si>
  <si>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</si>
  <si>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</si>
  <si>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</si>
  <si>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</si>
  <si>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</si>
  <si>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</si>
  <si>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</si>
  <si>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</si>
  <si>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</si>
  <si>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</si>
  <si>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</si>
  <si>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</si>
  <si>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</si>
  <si>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</si>
  <si>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</si>
  <si>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</si>
  <si>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</si>
  <si>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</si>
  <si>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</si>
  <si>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</si>
  <si>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</si>
  <si>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</si>
  <si>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</si>
  <si>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</si>
  <si>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</si>
  <si>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</si>
  <si>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</si>
  <si>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</si>
  <si>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</si>
  <si>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</si>
  <si>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</si>
  <si>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</si>
  <si>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</si>
  <si>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</si>
  <si>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</si>
  <si>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</si>
  <si>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</si>
  <si>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</si>
  <si>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</si>
  <si>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</si>
  <si>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</si>
  <si>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</si>
  <si>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</si>
  <si>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</si>
  <si>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</si>
  <si>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</si>
  <si>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</si>
  <si>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</si>
  <si>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</si>
  <si>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</si>
  <si>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</si>
  <si>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</si>
  <si>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</si>
  <si>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</si>
  <si>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</si>
  <si>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</si>
  <si>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</si>
  <si>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</si>
  <si>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</si>
  <si>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</si>
  <si>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</si>
  <si>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</si>
  <si>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</si>
  <si>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</si>
  <si>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</si>
  <si>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</si>
  <si>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</si>
  <si>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</si>
  <si>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</si>
  <si>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</si>
  <si>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</si>
  <si>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</si>
  <si>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</si>
  <si>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</si>
  <si>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</si>
  <si>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</si>
  <si>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</si>
  <si>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</si>
  <si>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</si>
  <si>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</si>
  <si>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</si>
  <si>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</si>
  <si>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</si>
  <si>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</si>
  <si>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</si>
  <si>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</si>
  <si>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</si>
  <si>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</si>
  <si>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</si>
  <si>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</si>
  <si>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</si>
  <si>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</si>
  <si>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</si>
  <si>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</si>
  <si>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</si>
  <si>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</si>
  <si>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</si>
  <si>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</si>
  <si>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</si>
  <si>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</si>
  <si>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</si>
  <si>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</si>
  <si>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</si>
  <si>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</si>
  <si>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</si>
  <si>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</si>
  <si>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</si>
  <si>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</si>
  <si>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</si>
  <si>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</si>
  <si>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</si>
  <si>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</si>
  <si>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</si>
  <si>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</si>
  <si>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</si>
  <si>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</si>
  <si>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</si>
  <si>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</si>
  <si>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</si>
  <si>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</si>
  <si>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</si>
  <si>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</si>
  <si>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</si>
  <si>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</si>
  <si>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</si>
  <si>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</si>
  <si>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</si>
  <si>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</si>
  <si>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</si>
  <si>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</si>
  <si>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</si>
  <si>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</si>
  <si>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</si>
  <si>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</si>
  <si>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</si>
  <si>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</si>
  <si>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</si>
  <si>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</si>
  <si>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</si>
  <si>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</si>
  <si>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</si>
  <si>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</si>
  <si>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</si>
  <si>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</si>
  <si>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</si>
  <si>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</si>
  <si>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</si>
  <si>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</si>
  <si>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</si>
  <si>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</si>
  <si>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</si>
  <si>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</si>
  <si>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</si>
  <si>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</si>
  <si>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</si>
  <si>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</si>
  <si>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</si>
  <si>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</si>
  <si>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</si>
  <si>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</si>
  <si>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</si>
  <si>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</si>
  <si>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</si>
  <si>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</si>
  <si>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</si>
  <si>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</si>
  <si>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</si>
  <si>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</si>
  <si>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</si>
  <si>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</si>
  <si>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</si>
  <si>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</si>
  <si>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</si>
  <si>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</si>
  <si>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</si>
  <si>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</si>
  <si>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</si>
  <si>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</si>
  <si>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</si>
  <si>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</si>
  <si>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</si>
  <si>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</si>
  <si>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</si>
  <si>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</si>
  <si>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</si>
  <si>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</si>
  <si>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</si>
  <si>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</si>
  <si>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</si>
  <si>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</si>
  <si>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</si>
  <si>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</si>
  <si>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</si>
  <si>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</si>
  <si>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</si>
  <si>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</si>
  <si>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</si>
  <si>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</si>
  <si>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</si>
  <si>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</si>
  <si>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</si>
  <si>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</si>
  <si>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</si>
  <si>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</si>
  <si>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</si>
  <si>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</si>
  <si>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</si>
  <si>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</si>
  <si>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</si>
  <si>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</si>
  <si>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</si>
  <si>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</si>
  <si>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</si>
  <si>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</si>
  <si>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</si>
  <si>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</si>
  <si>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</si>
  <si>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</si>
  <si>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</si>
  <si>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</si>
  <si>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</si>
  <si>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</si>
  <si>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</si>
  <si>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</si>
  <si>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</si>
  <si>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</si>
  <si>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</si>
  <si>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</si>
  <si>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</si>
  <si>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</si>
  <si>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</si>
  <si>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</si>
  <si>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</si>
  <si>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</si>
  <si>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</si>
  <si>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</si>
  <si>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</si>
  <si>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</si>
  <si>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</si>
  <si>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</si>
  <si>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</si>
  <si>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</si>
  <si>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</si>
  <si>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</si>
  <si>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</si>
  <si>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</si>
  <si>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</si>
  <si>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</si>
  <si>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</si>
  <si>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</si>
  <si>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</si>
  <si>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</si>
  <si>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</si>
  <si>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</si>
  <si>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</si>
  <si>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</si>
  <si>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</si>
  <si>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</si>
  <si>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</si>
  <si>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</si>
  <si>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</si>
  <si>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</si>
  <si>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</si>
  <si>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</si>
  <si>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</si>
  <si>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</si>
  <si>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</si>
  <si>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</si>
  <si>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</si>
  <si>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</si>
  <si>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</si>
  <si>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</si>
  <si>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</si>
  <si>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</si>
  <si>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</si>
  <si>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</si>
  <si>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</si>
  <si>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</si>
  <si>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</si>
  <si>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</si>
  <si>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</si>
  <si>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</si>
  <si>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</si>
  <si>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</si>
  <si>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</si>
  <si>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</si>
  <si>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</si>
  <si>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</si>
  <si>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</si>
  <si>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</si>
  <si>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</si>
  <si>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</si>
  <si>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</si>
  <si>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</si>
  <si>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</si>
  <si>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</si>
  <si>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</si>
  <si>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</si>
  <si>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</si>
  <si>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</si>
  <si>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</si>
  <si>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</si>
  <si>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</si>
  <si>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</si>
  <si>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</si>
  <si>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</si>
  <si>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</si>
  <si>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</si>
  <si>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</si>
  <si>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</si>
  <si>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</si>
  <si>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</si>
  <si>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</si>
  <si>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</si>
  <si>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</si>
  <si>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</si>
  <si>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</si>
  <si>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</si>
  <si>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</si>
  <si>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</si>
  <si>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</si>
  <si>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</si>
  <si>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</si>
  <si>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</si>
  <si>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</si>
  <si>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</si>
  <si>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</si>
  <si>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</si>
  <si>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</si>
  <si>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</si>
  <si>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</si>
  <si>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</si>
  <si>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</si>
  <si>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</si>
  <si>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</si>
  <si>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</si>
  <si>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</si>
  <si>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</si>
  <si>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</si>
  <si>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</si>
  <si>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</si>
  <si>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</si>
  <si>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</si>
  <si>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</si>
  <si>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</si>
  <si>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</si>
  <si>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</si>
  <si>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</si>
  <si>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</si>
  <si>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</si>
  <si>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</si>
  <si>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</si>
  <si>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</si>
  <si>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</si>
  <si>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</si>
  <si>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</si>
  <si>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</si>
  <si>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</si>
  <si>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</si>
  <si>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</si>
  <si>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</si>
  <si>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</si>
  <si>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</si>
  <si>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</si>
  <si>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</si>
  <si>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</si>
  <si>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</si>
  <si>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</si>
  <si>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</si>
  <si>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</si>
  <si>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</si>
  <si>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</si>
  <si>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</si>
  <si>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</si>
  <si>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</si>
  <si>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</si>
  <si>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</si>
  <si>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</si>
  <si>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</si>
  <si>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</si>
  <si>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</si>
  <si>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</si>
  <si>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</si>
  <si>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</si>
  <si>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</si>
  <si>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</si>
  <si>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</si>
  <si>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</si>
  <si>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</si>
  <si>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</si>
  <si>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</si>
  <si>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</si>
  <si>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</si>
  <si>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</si>
  <si>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</si>
  <si>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</si>
  <si>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</si>
  <si>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</si>
  <si>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</si>
  <si>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</si>
  <si>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</si>
  <si>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</si>
  <si>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</si>
  <si>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</si>
  <si>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</si>
  <si>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</si>
  <si>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</si>
  <si>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</si>
  <si>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</si>
  <si>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</si>
  <si>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</si>
  <si>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</si>
  <si>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</si>
  <si>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</si>
  <si>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</si>
  <si>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</si>
  <si>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</si>
  <si>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</si>
  <si>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</si>
  <si>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</si>
  <si>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</si>
  <si>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</si>
  <si>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</si>
  <si>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</si>
  <si>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</si>
  <si>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</si>
  <si>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</si>
  <si>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</si>
  <si>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</si>
  <si>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</si>
  <si>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</si>
  <si>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</si>
  <si>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</si>
  <si>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</si>
  <si>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</si>
  <si>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</si>
  <si>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</si>
  <si>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</si>
  <si>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</si>
  <si>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</si>
  <si>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</si>
  <si>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</si>
  <si>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</si>
  <si>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</si>
  <si>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</si>
  <si>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</si>
  <si>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</si>
  <si>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</si>
  <si>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</si>
  <si>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</si>
  <si>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</si>
  <si>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</si>
  <si>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</si>
  <si>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</si>
  <si>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</si>
  <si>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</si>
  <si>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</si>
  <si>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</si>
  <si>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</si>
  <si>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</si>
  <si>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</si>
  <si>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</si>
  <si>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</si>
  <si>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</si>
  <si>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</si>
  <si>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</si>
  <si>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</si>
  <si>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</si>
  <si>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</si>
  <si>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</si>
  <si>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</si>
  <si>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</si>
  <si>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</si>
  <si>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</si>
  <si>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</si>
  <si>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</si>
  <si>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</si>
  <si>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</si>
  <si>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</si>
  <si>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</si>
  <si>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</si>
  <si>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</si>
  <si>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</si>
  <si>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</si>
  <si>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</si>
  <si>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</si>
  <si>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</si>
  <si>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</si>
  <si>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</si>
  <si>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</si>
  <si>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</si>
  <si>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</si>
  <si>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</si>
  <si>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</si>
  <si>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</si>
  <si>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</si>
  <si>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</si>
  <si>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</si>
  <si>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</si>
  <si>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</si>
  <si>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</si>
  <si>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</si>
  <si>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</si>
  <si>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</si>
  <si>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</si>
  <si>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</si>
  <si>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</si>
  <si>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</si>
  <si>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</si>
  <si>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</si>
  <si>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</si>
  <si>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</si>
  <si>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</si>
  <si>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</si>
  <si>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</si>
  <si>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</si>
  <si>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</si>
  <si>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</si>
  <si>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</si>
  <si>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</si>
  <si>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</si>
  <si>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</si>
  <si>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</si>
  <si>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</si>
  <si>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</si>
  <si>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</si>
  <si>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</si>
  <si>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</si>
  <si>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</si>
  <si>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</si>
  <si>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</si>
  <si>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</si>
  <si>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</si>
  <si>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</si>
  <si>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</si>
  <si>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</si>
  <si>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</si>
  <si>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</si>
  <si>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</si>
  <si>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</si>
  <si>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</si>
  <si>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</si>
  <si>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</si>
  <si>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</si>
  <si>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</si>
  <si>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</si>
  <si>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</si>
  <si>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</si>
  <si>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</si>
  <si>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</si>
  <si>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</si>
  <si>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</si>
  <si>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</si>
  <si>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</si>
  <si>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</si>
  <si>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</si>
  <si>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</si>
  <si>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</si>
  <si>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</si>
  <si>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</si>
  <si>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</si>
  <si>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</si>
  <si>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</si>
  <si>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</si>
  <si>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</si>
  <si>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</si>
  <si>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</si>
  <si>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</si>
  <si>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</si>
  <si>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</si>
  <si>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</si>
  <si>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</si>
  <si>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</si>
  <si>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</si>
  <si>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</si>
  <si>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</si>
  <si>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</si>
  <si>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</si>
  <si>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</si>
  <si>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</si>
  <si>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</si>
  <si>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</si>
  <si>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</si>
  <si>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</si>
  <si>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</si>
  <si>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</si>
  <si>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</si>
  <si>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</si>
  <si>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</si>
  <si>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</si>
  <si>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</si>
  <si>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</si>
  <si>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</si>
  <si>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</si>
  <si>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</si>
  <si>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</si>
  <si>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</si>
  <si>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</si>
  <si>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</si>
  <si>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</si>
  <si>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</si>
  <si>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</si>
  <si>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</si>
  <si>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</si>
  <si>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</si>
  <si>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</si>
  <si>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</si>
  <si>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</si>
  <si>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</si>
  <si>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</si>
  <si>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</si>
  <si>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</si>
  <si>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</si>
  <si>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</si>
  <si>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</si>
  <si>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</si>
  <si>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</si>
  <si>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</si>
  <si>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</si>
  <si>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</si>
  <si>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</si>
  <si>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</si>
  <si>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</si>
  <si>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</si>
  <si>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</si>
  <si>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</si>
  <si>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</si>
  <si>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</si>
  <si>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</si>
  <si>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</si>
  <si>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</si>
  <si>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</si>
  <si>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</si>
  <si>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</si>
  <si>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</si>
  <si>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</si>
  <si>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</si>
  <si>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</si>
  <si>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</si>
  <si>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</si>
  <si>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</si>
  <si>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</si>
  <si>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</si>
  <si>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</si>
  <si>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</si>
  <si>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</si>
  <si>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</si>
  <si>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</si>
  <si>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</si>
  <si>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</si>
  <si>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</si>
  <si>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</si>
  <si>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</si>
  <si>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</si>
  <si>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</si>
  <si>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</si>
  <si>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</si>
  <si>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</si>
  <si>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</si>
  <si>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</si>
  <si>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</si>
  <si>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</si>
  <si>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</si>
  <si>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</si>
  <si>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</si>
  <si>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</si>
  <si>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</si>
  <si>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</si>
  <si>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</si>
  <si>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</si>
  <si>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</si>
  <si>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</si>
  <si>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</si>
  <si>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</si>
  <si>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</si>
  <si>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</si>
  <si>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</si>
  <si>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</si>
  <si>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</si>
  <si>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</si>
  <si>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</si>
  <si>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</si>
  <si>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</si>
  <si>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</si>
  <si>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</si>
  <si>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</si>
  <si>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</si>
  <si>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</si>
  <si>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</si>
  <si>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</si>
  <si>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</si>
  <si>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</si>
  <si>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</si>
  <si>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</si>
  <si>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</si>
  <si>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</si>
  <si>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</si>
  <si>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</si>
  <si>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</si>
  <si>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</si>
  <si>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</si>
  <si>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</si>
  <si>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</si>
  <si>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</si>
  <si>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</si>
  <si>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</si>
  <si>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</si>
  <si>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</si>
  <si>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</si>
  <si>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</si>
  <si>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</si>
  <si>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</si>
  <si>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</si>
  <si>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</si>
  <si>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</si>
  <si>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</si>
  <si>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</si>
  <si>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</si>
  <si>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</si>
  <si>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</si>
  <si>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</si>
  <si>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</si>
  <si>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</si>
  <si>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</si>
  <si>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</si>
  <si>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</si>
  <si>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</si>
  <si>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</si>
  <si>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</si>
  <si>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</si>
  <si>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</si>
  <si>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</si>
  <si>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</si>
  <si>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</si>
  <si>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</si>
  <si>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</si>
  <si>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</si>
  <si>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</si>
  <si>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</si>
  <si>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</si>
  <si>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</si>
  <si>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</si>
  <si>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</si>
  <si>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</si>
  <si>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</si>
  <si>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</si>
  <si>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</si>
  <si>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</si>
  <si>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</si>
  <si>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</si>
  <si>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</si>
  <si>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</si>
  <si>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</si>
  <si>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</si>
  <si>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</si>
  <si>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</si>
  <si>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</si>
  <si>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</si>
  <si>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</si>
  <si>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</si>
  <si>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</si>
  <si>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</si>
  <si>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</si>
  <si>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</si>
  <si>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</si>
  <si>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</si>
  <si>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</si>
  <si>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</si>
  <si>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</si>
  <si>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</si>
  <si>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</si>
  <si>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</si>
  <si>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</si>
  <si>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</si>
  <si>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</si>
  <si>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</si>
  <si>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</si>
  <si>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</si>
  <si>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</si>
  <si>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</si>
  <si>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</si>
  <si>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</si>
  <si>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</si>
  <si>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</si>
  <si>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</si>
  <si>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</si>
  <si>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</si>
  <si>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</si>
  <si>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</si>
  <si>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</si>
  <si>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</si>
  <si>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</si>
  <si>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</si>
  <si>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</si>
  <si>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</si>
  <si>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</si>
  <si>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</si>
  <si>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</si>
  <si>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</si>
  <si>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</si>
  <si>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</si>
  <si>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</si>
  <si>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</si>
  <si>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</si>
  <si>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</si>
  <si>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</si>
  <si>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</si>
  <si>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</si>
  <si>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</si>
  <si>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</si>
  <si>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</si>
  <si>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</si>
  <si>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</si>
  <si>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</si>
  <si>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</si>
  <si>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</si>
  <si>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</si>
  <si>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</si>
  <si>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</si>
  <si>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</si>
  <si>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</si>
  <si>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</si>
  <si>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</si>
  <si>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</si>
  <si>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</si>
  <si>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</si>
  <si>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</si>
  <si>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</si>
  <si>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</si>
  <si>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</si>
  <si>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</si>
  <si>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</si>
  <si>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</si>
  <si>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</si>
  <si>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</si>
  <si>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</si>
  <si>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</si>
  <si>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</si>
  <si>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</si>
  <si>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</si>
  <si>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</si>
  <si>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</si>
  <si>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</si>
  <si>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</si>
  <si>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</si>
  <si>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</si>
  <si>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</si>
  <si>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</si>
  <si>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</si>
  <si>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</si>
  <si>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</si>
  <si>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</si>
  <si>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</si>
  <si>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</si>
  <si>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</si>
  <si>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</si>
  <si>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</si>
  <si>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</si>
  <si>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</si>
  <si>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</si>
  <si>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</si>
  <si>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</si>
  <si>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</si>
  <si>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</si>
  <si>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Northwood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</si>
</sst>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zoomScaleNormal="100" workbookViewId="0">
      <pane xSplit="5" ySplit="3" topLeftCell="F222" activePane="bottomRight" state="frozen"/>
      <selection pane="topRight" activeCell="F1" sqref="F1"/>
      <selection pane="bottomLeft" activeCell="A4" sqref="A4"/>
      <selection pane="bottomRight" activeCell="F240" sqref="F240:K240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411</v>
      </c>
      <c r="C2" s="21">
        <v>411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916140.86</v>
      </c>
      <c r="G9" s="18"/>
      <c r="H9" s="18"/>
      <c r="I9" s="18"/>
      <c r="J9" s="67">
        <f>SUM(I439)</f>
        <v>431136.21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9416.95+7188.78</f>
        <v>16605.73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12572.52</v>
      </c>
      <c r="G13" s="18">
        <v>3792.46</v>
      </c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16174.41</v>
      </c>
      <c r="G14" s="18">
        <v>5442.41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1257.29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5.32</v>
      </c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961498.84</v>
      </c>
      <c r="G19" s="41">
        <f>SUM(G9:G18)</f>
        <v>10492.16</v>
      </c>
      <c r="H19" s="41">
        <f>SUM(H9:H18)</f>
        <v>0</v>
      </c>
      <c r="I19" s="41">
        <f>SUM(I9:I18)</f>
        <v>0</v>
      </c>
      <c r="J19" s="41">
        <f>SUM(J9:J18)</f>
        <v>431136.21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f>16606.01-0.28</f>
        <v>16605.73</v>
      </c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46017.62</v>
      </c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303591.19</v>
      </c>
      <c r="G24" s="18">
        <v>92.4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f>-2110.81-217.07</f>
        <v>-2327.88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347280.93</v>
      </c>
      <c r="G32" s="41">
        <f>SUM(G22:G31)</f>
        <v>16698.13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1257.29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-7463.26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227991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431136.21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376226.91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614217.90999999992</v>
      </c>
      <c r="G51" s="41">
        <f>SUM(G35:G50)</f>
        <v>-6205.97</v>
      </c>
      <c r="H51" s="41">
        <f>SUM(H35:H50)</f>
        <v>0</v>
      </c>
      <c r="I51" s="41">
        <f>SUM(I35:I50)</f>
        <v>0</v>
      </c>
      <c r="J51" s="41">
        <f>SUM(J35:J50)</f>
        <v>431136.21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961498.83999999985</v>
      </c>
      <c r="G52" s="41">
        <f>G51+G32</f>
        <v>10492.16</v>
      </c>
      <c r="H52" s="41">
        <f>H51+H32</f>
        <v>0</v>
      </c>
      <c r="I52" s="41">
        <f>I51+I32</f>
        <v>0</v>
      </c>
      <c r="J52" s="41">
        <f>J51+J32</f>
        <v>431136.21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8040649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8040649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v>7500</v>
      </c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>
        <v>0</v>
      </c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7500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3890.05</v>
      </c>
      <c r="G96" s="18"/>
      <c r="H96" s="18"/>
      <c r="I96" s="18"/>
      <c r="J96" s="18">
        <v>5300.45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59339.37+0.78</f>
        <v>59340.15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1030.75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23209.68+42267.25</f>
        <v>65476.93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70397.73</v>
      </c>
      <c r="G111" s="41">
        <f>SUM(G96:G110)</f>
        <v>59340.15</v>
      </c>
      <c r="H111" s="41">
        <f>SUM(H96:H110)</f>
        <v>0</v>
      </c>
      <c r="I111" s="41">
        <f>SUM(I96:I110)</f>
        <v>0</v>
      </c>
      <c r="J111" s="41">
        <f>SUM(J96:J110)</f>
        <v>5300.45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8118546.7300000004</v>
      </c>
      <c r="G112" s="41">
        <f>G60+G111</f>
        <v>59340.15</v>
      </c>
      <c r="H112" s="41">
        <f>H60+H79+H94+H111</f>
        <v>0</v>
      </c>
      <c r="I112" s="41">
        <f>I60+I111</f>
        <v>0</v>
      </c>
      <c r="J112" s="41">
        <f>J60+J111</f>
        <v>5300.45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2295003.1800000002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1078991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5002.8100000000004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3378996.99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79047.48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1957.31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79047.48</v>
      </c>
      <c r="G136" s="41">
        <f>SUM(G123:G135)</f>
        <v>1957.31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3458044.47</v>
      </c>
      <c r="G140" s="41">
        <f>G121+SUM(G136:G137)</f>
        <v>1957.31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43633.48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78448.990000000005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78448.990000000005</v>
      </c>
      <c r="G162" s="41">
        <f>SUM(G150:G161)</f>
        <v>43633.48</v>
      </c>
      <c r="H162" s="41">
        <f>SUM(H150:H161)</f>
        <v>0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78448.990000000005</v>
      </c>
      <c r="G169" s="41">
        <f>G147+G162+SUM(G163:G168)</f>
        <v>43633.48</v>
      </c>
      <c r="H169" s="41">
        <f>H147+H162+SUM(H163:H168)</f>
        <v>0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29738.39</v>
      </c>
      <c r="H179" s="18"/>
      <c r="I179" s="18"/>
      <c r="J179" s="18">
        <v>60000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29738.39</v>
      </c>
      <c r="H183" s="41">
        <f>SUM(H179:H182)</f>
        <v>0</v>
      </c>
      <c r="I183" s="41">
        <f>SUM(I179:I182)</f>
        <v>0</v>
      </c>
      <c r="J183" s="41">
        <f>SUM(J179:J182)</f>
        <v>60000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29738.39</v>
      </c>
      <c r="H192" s="41">
        <f>+H183+SUM(H188:H191)</f>
        <v>0</v>
      </c>
      <c r="I192" s="41">
        <f>I177+I183+SUM(I188:I191)</f>
        <v>0</v>
      </c>
      <c r="J192" s="41">
        <f>J183</f>
        <v>60000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11655040.190000001</v>
      </c>
      <c r="G193" s="47">
        <f>G112+G140+G169+G192</f>
        <v>134669.33000000002</v>
      </c>
      <c r="H193" s="47">
        <f>H112+H140+H169+H192</f>
        <v>0</v>
      </c>
      <c r="I193" s="47">
        <f>I112+I140+I169+I192</f>
        <v>0</v>
      </c>
      <c r="J193" s="47">
        <f>J112+J140+J192</f>
        <v>65300.45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1468718</v>
      </c>
      <c r="G197" s="18">
        <f>787863.94+14511.26-4.82</f>
        <v>802370.38</v>
      </c>
      <c r="H197" s="18">
        <v>6711.84</v>
      </c>
      <c r="I197" s="18">
        <v>78623.149999999994</v>
      </c>
      <c r="J197" s="18">
        <v>8822.9</v>
      </c>
      <c r="K197" s="18"/>
      <c r="L197" s="19">
        <f>SUM(F197:K197)</f>
        <v>2365246.2699999996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752622.96-4221.57</f>
        <v>748401.39</v>
      </c>
      <c r="G198" s="18">
        <v>375226.29</v>
      </c>
      <c r="H198" s="18">
        <f>137855.31+418061.89</f>
        <v>555917.19999999995</v>
      </c>
      <c r="I198" s="18">
        <v>5556.8</v>
      </c>
      <c r="J198" s="18">
        <v>4177.95</v>
      </c>
      <c r="K198" s="18">
        <f>125+7019.72</f>
        <v>7144.72</v>
      </c>
      <c r="L198" s="19">
        <f>SUM(F198:K198)</f>
        <v>1696424.3499999999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16879.5+16135+1890</f>
        <v>34904.5</v>
      </c>
      <c r="G200" s="18">
        <f>3768.76+2310.65+144.59</f>
        <v>6224</v>
      </c>
      <c r="H200" s="18">
        <f>9462.5+5345</f>
        <v>14807.5</v>
      </c>
      <c r="I200" s="18">
        <f>-44.31+3799+253.69</f>
        <v>4008.38</v>
      </c>
      <c r="J200" s="18"/>
      <c r="K200" s="18">
        <v>239</v>
      </c>
      <c r="L200" s="19">
        <f>SUM(F200:K200)</f>
        <v>60183.38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85503+51443</f>
        <v>136946</v>
      </c>
      <c r="G202" s="18">
        <f>11.48+38418.37+35505.57</f>
        <v>73935.420000000013</v>
      </c>
      <c r="H202" s="18">
        <f>163.53+340.54+100+91652.19</f>
        <v>92256.260000000009</v>
      </c>
      <c r="I202" s="18">
        <f>291.25+869.46</f>
        <v>1160.71</v>
      </c>
      <c r="J202" s="18">
        <f>174.81+2743.9</f>
        <v>2918.71</v>
      </c>
      <c r="K202" s="18">
        <f>358+54.83</f>
        <v>412.83</v>
      </c>
      <c r="L202" s="19">
        <f t="shared" ref="L202:L208" si="0">SUM(F202:K202)</f>
        <v>307629.93000000011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2100+60881.4+72696.41+68935.56</f>
        <v>204613.37</v>
      </c>
      <c r="G203" s="18">
        <f>2765.71+36364.51+280+19563.5+33244.14+37084.33</f>
        <v>129302.19</v>
      </c>
      <c r="H203" s="18">
        <f>10000+14765.38+15590.67+714.83</f>
        <v>41070.879999999997</v>
      </c>
      <c r="I203" s="18">
        <f>14739.37+6390.31+45357.36</f>
        <v>66487.040000000008</v>
      </c>
      <c r="J203" s="18">
        <f>679.65+81950.69</f>
        <v>82630.34</v>
      </c>
      <c r="K203" s="18">
        <f>165</f>
        <v>165</v>
      </c>
      <c r="L203" s="19">
        <f t="shared" si="0"/>
        <v>524268.81999999995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5848.6</v>
      </c>
      <c r="G204" s="18">
        <v>619.54</v>
      </c>
      <c r="H204" s="18">
        <v>244667.96</v>
      </c>
      <c r="I204" s="18">
        <v>123.67</v>
      </c>
      <c r="J204" s="18"/>
      <c r="K204" s="18">
        <v>7188.59</v>
      </c>
      <c r="L204" s="19">
        <f t="shared" si="0"/>
        <v>258448.36000000002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219977.69</v>
      </c>
      <c r="G205" s="18">
        <v>95749.51</v>
      </c>
      <c r="H205" s="18">
        <f>5081.53+4708.56+6843.48</f>
        <v>16633.57</v>
      </c>
      <c r="I205" s="18">
        <v>1725.32</v>
      </c>
      <c r="J205" s="18">
        <f>364.6</f>
        <v>364.6</v>
      </c>
      <c r="K205" s="18">
        <f>2437.29+1272.41</f>
        <v>3709.7</v>
      </c>
      <c r="L205" s="19">
        <f t="shared" si="0"/>
        <v>338160.39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167465.78+3265.25</f>
        <v>170731.03</v>
      </c>
      <c r="G207" s="18">
        <f>70311.82+249.79</f>
        <v>70561.61</v>
      </c>
      <c r="H207" s="18">
        <f>95292.16+25607.71+18419.38+4699.46+2187.5</f>
        <v>146206.21</v>
      </c>
      <c r="I207" s="18">
        <f>133207.04</f>
        <v>133207.04000000001</v>
      </c>
      <c r="J207" s="18">
        <f>5839.84</f>
        <v>5839.84</v>
      </c>
      <c r="K207" s="18"/>
      <c r="L207" s="19">
        <f t="shared" si="0"/>
        <v>526545.73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f>26500+5811.37</f>
        <v>32311.37</v>
      </c>
      <c r="G208" s="18">
        <f>2027.25+430.8</f>
        <v>2458.0500000000002</v>
      </c>
      <c r="H208" s="18">
        <f>260166+109998.65+3367.5-137.09</f>
        <v>373395.06</v>
      </c>
      <c r="I208" s="18"/>
      <c r="J208" s="18"/>
      <c r="K208" s="18"/>
      <c r="L208" s="19">
        <f t="shared" si="0"/>
        <v>408164.48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3022451.95</v>
      </c>
      <c r="G211" s="41">
        <f t="shared" si="1"/>
        <v>1556446.99</v>
      </c>
      <c r="H211" s="41">
        <f t="shared" si="1"/>
        <v>1491666.48</v>
      </c>
      <c r="I211" s="41">
        <f t="shared" si="1"/>
        <v>290892.11000000004</v>
      </c>
      <c r="J211" s="41">
        <f t="shared" si="1"/>
        <v>104754.34</v>
      </c>
      <c r="K211" s="41">
        <f t="shared" si="1"/>
        <v>18859.84</v>
      </c>
      <c r="L211" s="41">
        <f t="shared" si="1"/>
        <v>6485071.709999999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3653492.82</v>
      </c>
      <c r="I233" s="18">
        <v>1061.33</v>
      </c>
      <c r="J233" s="18">
        <v>547.54</v>
      </c>
      <c r="K233" s="18"/>
      <c r="L233" s="19">
        <f>SUM(F233:K233)</f>
        <v>3655101.69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f>4221.57+192270.82</f>
        <v>196492.39</v>
      </c>
      <c r="G234" s="18"/>
      <c r="H234" s="18">
        <f>32396.03+651378.29+477.34</f>
        <v>684251.66</v>
      </c>
      <c r="I234" s="18"/>
      <c r="J234" s="18"/>
      <c r="K234" s="18"/>
      <c r="L234" s="19">
        <f>SUM(F234:K234)</f>
        <v>880744.05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3899.06</v>
      </c>
      <c r="G240" s="18">
        <v>413.03</v>
      </c>
      <c r="H240" s="18">
        <v>163111.98000000001</v>
      </c>
      <c r="I240" s="18">
        <v>82.45</v>
      </c>
      <c r="J240" s="18"/>
      <c r="K240" s="18">
        <v>4792.3999999999996</v>
      </c>
      <c r="L240" s="19">
        <f t="shared" si="4"/>
        <v>172298.92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33404+77481.71</f>
        <v>110885.71</v>
      </c>
      <c r="I244" s="18"/>
      <c r="J244" s="18"/>
      <c r="K244" s="18"/>
      <c r="L244" s="19">
        <f t="shared" si="4"/>
        <v>110885.71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200391.45</v>
      </c>
      <c r="G247" s="41">
        <f t="shared" si="5"/>
        <v>413.03</v>
      </c>
      <c r="H247" s="41">
        <f t="shared" si="5"/>
        <v>4611742.17</v>
      </c>
      <c r="I247" s="41">
        <f t="shared" si="5"/>
        <v>1143.78</v>
      </c>
      <c r="J247" s="41">
        <f t="shared" si="5"/>
        <v>547.54</v>
      </c>
      <c r="K247" s="41">
        <f t="shared" si="5"/>
        <v>4792.3999999999996</v>
      </c>
      <c r="L247" s="41">
        <f t="shared" si="5"/>
        <v>4819030.37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3222843.4000000004</v>
      </c>
      <c r="G257" s="41">
        <f t="shared" si="8"/>
        <v>1556860.02</v>
      </c>
      <c r="H257" s="41">
        <f t="shared" si="8"/>
        <v>6103408.6500000004</v>
      </c>
      <c r="I257" s="41">
        <f t="shared" si="8"/>
        <v>292035.89000000007</v>
      </c>
      <c r="J257" s="41">
        <f t="shared" si="8"/>
        <v>105301.87999999999</v>
      </c>
      <c r="K257" s="41">
        <f t="shared" si="8"/>
        <v>23652.239999999998</v>
      </c>
      <c r="L257" s="41">
        <f t="shared" si="8"/>
        <v>11304102.079999998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29738.39</v>
      </c>
      <c r="L263" s="19">
        <f>SUM(F263:K263)</f>
        <v>29738.39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60000</v>
      </c>
      <c r="L266" s="19">
        <f t="shared" si="9"/>
        <v>60000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89738.39</v>
      </c>
      <c r="L270" s="41">
        <f t="shared" si="9"/>
        <v>89738.39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3222843.4000000004</v>
      </c>
      <c r="G271" s="42">
        <f t="shared" si="11"/>
        <v>1556860.02</v>
      </c>
      <c r="H271" s="42">
        <f t="shared" si="11"/>
        <v>6103408.6500000004</v>
      </c>
      <c r="I271" s="42">
        <f t="shared" si="11"/>
        <v>292035.89000000007</v>
      </c>
      <c r="J271" s="42">
        <f t="shared" si="11"/>
        <v>105301.87999999999</v>
      </c>
      <c r="K271" s="42">
        <f t="shared" si="11"/>
        <v>113390.63</v>
      </c>
      <c r="L271" s="42">
        <f t="shared" si="11"/>
        <v>11393840.469999999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1605</v>
      </c>
      <c r="G358" s="18">
        <v>122.79</v>
      </c>
      <c r="H358" s="18">
        <f>128315.55+1156.21</f>
        <v>129471.76000000001</v>
      </c>
      <c r="I358" s="18">
        <v>994.07</v>
      </c>
      <c r="J358" s="18"/>
      <c r="K358" s="18">
        <v>2475.09</v>
      </c>
      <c r="L358" s="13">
        <f>SUM(F358:K358)</f>
        <v>134668.71000000002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1605</v>
      </c>
      <c r="G362" s="47">
        <f t="shared" si="22"/>
        <v>122.79</v>
      </c>
      <c r="H362" s="47">
        <f t="shared" si="22"/>
        <v>129471.76000000001</v>
      </c>
      <c r="I362" s="47">
        <f t="shared" si="22"/>
        <v>994.07</v>
      </c>
      <c r="J362" s="47">
        <f t="shared" si="22"/>
        <v>0</v>
      </c>
      <c r="K362" s="47">
        <f t="shared" si="22"/>
        <v>2475.09</v>
      </c>
      <c r="L362" s="47">
        <f t="shared" si="22"/>
        <v>134668.71000000002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994.07</v>
      </c>
      <c r="G368" s="63"/>
      <c r="H368" s="63"/>
      <c r="I368" s="56">
        <f>SUM(F368:H368)</f>
        <v>994.07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994.07</v>
      </c>
      <c r="G369" s="47">
        <f>SUM(G367:G368)</f>
        <v>0</v>
      </c>
      <c r="H369" s="47">
        <f>SUM(H367:H368)</f>
        <v>0</v>
      </c>
      <c r="I369" s="47">
        <f>SUM(I367:I368)</f>
        <v>994.07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10000</v>
      </c>
      <c r="H396" s="18">
        <v>1293.33</v>
      </c>
      <c r="I396" s="18"/>
      <c r="J396" s="24" t="s">
        <v>286</v>
      </c>
      <c r="K396" s="24" t="s">
        <v>286</v>
      </c>
      <c r="L396" s="56">
        <f t="shared" si="26"/>
        <v>11293.33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25000</v>
      </c>
      <c r="H397" s="18">
        <v>1219.8800000000001</v>
      </c>
      <c r="I397" s="18"/>
      <c r="J397" s="24" t="s">
        <v>286</v>
      </c>
      <c r="K397" s="24" t="s">
        <v>286</v>
      </c>
      <c r="L397" s="56">
        <f t="shared" si="26"/>
        <v>26219.88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>
        <v>25000</v>
      </c>
      <c r="H398" s="18">
        <v>1976.15</v>
      </c>
      <c r="I398" s="18"/>
      <c r="J398" s="24" t="s">
        <v>286</v>
      </c>
      <c r="K398" s="24" t="s">
        <v>286</v>
      </c>
      <c r="L398" s="56">
        <f t="shared" si="26"/>
        <v>26976.15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f>212.42+598.67</f>
        <v>811.08999999999992</v>
      </c>
      <c r="I400" s="18"/>
      <c r="J400" s="24" t="s">
        <v>286</v>
      </c>
      <c r="K400" s="24" t="s">
        <v>286</v>
      </c>
      <c r="L400" s="56">
        <f t="shared" si="26"/>
        <v>811.08999999999992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60000</v>
      </c>
      <c r="H401" s="47">
        <f>SUM(H395:H400)</f>
        <v>5300.4500000000007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65300.45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60000</v>
      </c>
      <c r="H408" s="47">
        <f>H393+H401+H407</f>
        <v>5300.4500000000007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65300.45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>
        <v>431136.21</v>
      </c>
      <c r="H439" s="18"/>
      <c r="I439" s="56">
        <f t="shared" ref="I439:I445" si="33">SUM(F439:H439)</f>
        <v>431136.21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431136.21</v>
      </c>
      <c r="H446" s="13">
        <f>SUM(H439:H445)</f>
        <v>0</v>
      </c>
      <c r="I446" s="13">
        <f>SUM(I439:I445)</f>
        <v>431136.21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431136.21</v>
      </c>
      <c r="H459" s="18"/>
      <c r="I459" s="56">
        <f t="shared" si="34"/>
        <v>431136.21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431136.21</v>
      </c>
      <c r="H460" s="83">
        <f>SUM(H454:H459)</f>
        <v>0</v>
      </c>
      <c r="I460" s="83">
        <f>SUM(I454:I459)</f>
        <v>431136.21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431136.21</v>
      </c>
      <c r="H461" s="42">
        <f>H452+H460</f>
        <v>0</v>
      </c>
      <c r="I461" s="42">
        <f>I452+I460</f>
        <v>431136.21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353018.19</v>
      </c>
      <c r="G465" s="18">
        <v>-6206.59</v>
      </c>
      <c r="H465" s="18"/>
      <c r="I465" s="18"/>
      <c r="J465" s="18">
        <v>365835.76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11655040.190000001</v>
      </c>
      <c r="G468" s="18">
        <f>G193</f>
        <v>134669.33000000002</v>
      </c>
      <c r="H468" s="18"/>
      <c r="I468" s="18"/>
      <c r="J468" s="18">
        <f>L408</f>
        <v>65300.45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11655040.190000001</v>
      </c>
      <c r="G470" s="53">
        <f>SUM(G468:G469)</f>
        <v>134669.33000000002</v>
      </c>
      <c r="H470" s="53">
        <f>SUM(H468:H469)</f>
        <v>0</v>
      </c>
      <c r="I470" s="53">
        <f>SUM(I468:I469)</f>
        <v>0</v>
      </c>
      <c r="J470" s="53">
        <f>SUM(J468:J469)</f>
        <v>65300.45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11393840.469999999</v>
      </c>
      <c r="G472" s="18">
        <f>L362</f>
        <v>134668.71000000002</v>
      </c>
      <c r="H472" s="18"/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11393840.469999999</v>
      </c>
      <c r="G474" s="53">
        <f>SUM(G472:G473)</f>
        <v>134668.71000000002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614217.91000000201</v>
      </c>
      <c r="G476" s="53">
        <f>(G465+G470)- G474</f>
        <v>-6205.9700000000012</v>
      </c>
      <c r="H476" s="53">
        <f>(H465+H470)- H474</f>
        <v>0</v>
      </c>
      <c r="I476" s="53">
        <f>(I465+I470)- I474</f>
        <v>0</v>
      </c>
      <c r="J476" s="53">
        <f>(J465+J470)- J474</f>
        <v>431136.21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748401.39</v>
      </c>
      <c r="G521" s="18">
        <v>375226.29</v>
      </c>
      <c r="H521" s="18">
        <v>555917.19999999995</v>
      </c>
      <c r="I521" s="18">
        <v>5556.8</v>
      </c>
      <c r="J521" s="18">
        <v>4177.95</v>
      </c>
      <c r="K521" s="18">
        <v>7144.72</v>
      </c>
      <c r="L521" s="88">
        <f>SUM(F521:K521)</f>
        <v>1696424.3499999999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196492.39</v>
      </c>
      <c r="G523" s="18"/>
      <c r="H523" s="18">
        <v>684251.66</v>
      </c>
      <c r="I523" s="18"/>
      <c r="J523" s="18"/>
      <c r="K523" s="18"/>
      <c r="L523" s="88">
        <f>SUM(F523:K523)</f>
        <v>880744.05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944893.78</v>
      </c>
      <c r="G524" s="108">
        <f t="shared" ref="G524:L524" si="36">SUM(G521:G523)</f>
        <v>375226.29</v>
      </c>
      <c r="H524" s="108">
        <f t="shared" si="36"/>
        <v>1240168.8599999999</v>
      </c>
      <c r="I524" s="108">
        <f t="shared" si="36"/>
        <v>5556.8</v>
      </c>
      <c r="J524" s="108">
        <f t="shared" si="36"/>
        <v>4177.95</v>
      </c>
      <c r="K524" s="108">
        <f t="shared" si="36"/>
        <v>7144.72</v>
      </c>
      <c r="L524" s="89">
        <f t="shared" si="36"/>
        <v>2577168.4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v>91652.19</v>
      </c>
      <c r="I526" s="18"/>
      <c r="J526" s="18"/>
      <c r="K526" s="18"/>
      <c r="L526" s="88">
        <f>SUM(F526:K526)</f>
        <v>91652.19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91652.19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91652.19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40769</v>
      </c>
      <c r="I531" s="18"/>
      <c r="J531" s="18"/>
      <c r="K531" s="18"/>
      <c r="L531" s="88">
        <f>SUM(F531:K531)</f>
        <v>40769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26065.43</v>
      </c>
      <c r="I533" s="18"/>
      <c r="J533" s="18"/>
      <c r="K533" s="18"/>
      <c r="L533" s="88">
        <f>SUM(F533:K533)</f>
        <v>26065.43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66834.429999999993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66834.429999999993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v>5811.37</v>
      </c>
      <c r="G541" s="18">
        <v>430.8</v>
      </c>
      <c r="H541" s="18">
        <v>109998.65</v>
      </c>
      <c r="I541" s="18"/>
      <c r="J541" s="18"/>
      <c r="K541" s="18"/>
      <c r="L541" s="88">
        <f>SUM(F541:K541)</f>
        <v>116240.81999999999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77481.710000000006</v>
      </c>
      <c r="I543" s="18"/>
      <c r="J543" s="18"/>
      <c r="K543" s="18"/>
      <c r="L543" s="88">
        <f>SUM(F543:K543)</f>
        <v>77481.710000000006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5811.37</v>
      </c>
      <c r="G544" s="193">
        <f t="shared" ref="G544:L544" si="40">SUM(G541:G543)</f>
        <v>430.8</v>
      </c>
      <c r="H544" s="193">
        <f t="shared" si="40"/>
        <v>187480.36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193722.53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950705.15</v>
      </c>
      <c r="G545" s="89">
        <f t="shared" ref="G545:L545" si="41">G524+G529+G534+G539+G544</f>
        <v>375657.08999999997</v>
      </c>
      <c r="H545" s="89">
        <f t="shared" si="41"/>
        <v>1586135.8399999999</v>
      </c>
      <c r="I545" s="89">
        <f t="shared" si="41"/>
        <v>5556.8</v>
      </c>
      <c r="J545" s="89">
        <f t="shared" si="41"/>
        <v>4177.95</v>
      </c>
      <c r="K545" s="89">
        <f t="shared" si="41"/>
        <v>7144.72</v>
      </c>
      <c r="L545" s="89">
        <f t="shared" si="41"/>
        <v>2929377.55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1696424.3499999999</v>
      </c>
      <c r="G549" s="87">
        <f>L526</f>
        <v>91652.19</v>
      </c>
      <c r="H549" s="87">
        <f>L531</f>
        <v>40769</v>
      </c>
      <c r="I549" s="87">
        <f>L536</f>
        <v>0</v>
      </c>
      <c r="J549" s="87">
        <f>L541</f>
        <v>116240.81999999999</v>
      </c>
      <c r="K549" s="87">
        <f>SUM(F549:J549)</f>
        <v>1945086.3599999999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880744.05</v>
      </c>
      <c r="G551" s="87">
        <f>L528</f>
        <v>0</v>
      </c>
      <c r="H551" s="87">
        <f>L533</f>
        <v>26065.43</v>
      </c>
      <c r="I551" s="87">
        <f>L538</f>
        <v>0</v>
      </c>
      <c r="J551" s="87">
        <f>L543</f>
        <v>77481.710000000006</v>
      </c>
      <c r="K551" s="87">
        <f>SUM(F551:J551)</f>
        <v>984291.19000000006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2577168.4</v>
      </c>
      <c r="G552" s="89">
        <f t="shared" si="42"/>
        <v>91652.19</v>
      </c>
      <c r="H552" s="89">
        <f t="shared" si="42"/>
        <v>66834.429999999993</v>
      </c>
      <c r="I552" s="89">
        <f t="shared" si="42"/>
        <v>0</v>
      </c>
      <c r="J552" s="89">
        <f t="shared" si="42"/>
        <v>193722.53</v>
      </c>
      <c r="K552" s="89">
        <f t="shared" si="42"/>
        <v>2929377.55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1252.0999999999999</v>
      </c>
      <c r="I575" s="87">
        <f>SUM(F575:H575)</f>
        <v>1252.0999999999999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>
        <v>3652240.72</v>
      </c>
      <c r="I577" s="87">
        <f t="shared" si="47"/>
        <v>3652240.72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f>176447.44+147583.37</f>
        <v>324030.81</v>
      </c>
      <c r="G579" s="18"/>
      <c r="H579" s="18"/>
      <c r="I579" s="87">
        <f t="shared" si="47"/>
        <v>324030.81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281081.12</v>
      </c>
      <c r="I581" s="87">
        <f t="shared" si="47"/>
        <v>281081.12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93118.04</v>
      </c>
      <c r="G582" s="18"/>
      <c r="H582" s="18">
        <v>370297.17</v>
      </c>
      <c r="I582" s="87">
        <f t="shared" si="47"/>
        <v>463415.20999999996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288693.25</v>
      </c>
      <c r="I591" s="18"/>
      <c r="J591" s="18">
        <v>33404</v>
      </c>
      <c r="K591" s="104">
        <f t="shared" ref="K591:K597" si="48">SUM(H591:J591)</f>
        <v>322097.25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116240.81999999999</v>
      </c>
      <c r="I592" s="18"/>
      <c r="J592" s="18">
        <v>77481.710000000006</v>
      </c>
      <c r="K592" s="104">
        <f t="shared" si="48"/>
        <v>193722.53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2367.5</v>
      </c>
      <c r="I594" s="18"/>
      <c r="J594" s="18"/>
      <c r="K594" s="104">
        <f t="shared" si="48"/>
        <v>2367.5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862.91</v>
      </c>
      <c r="I595" s="18"/>
      <c r="J595" s="18"/>
      <c r="K595" s="104">
        <f t="shared" si="48"/>
        <v>862.91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408164.48</v>
      </c>
      <c r="I598" s="108">
        <f>SUM(I591:I597)</f>
        <v>0</v>
      </c>
      <c r="J598" s="108">
        <f>SUM(J591:J597)</f>
        <v>110885.71</v>
      </c>
      <c r="K598" s="108">
        <f>SUM(K591:K597)</f>
        <v>519050.19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104754.34</v>
      </c>
      <c r="I604" s="18"/>
      <c r="J604" s="18">
        <v>547.54</v>
      </c>
      <c r="K604" s="104">
        <f>SUM(H604:J604)</f>
        <v>105301.87999999999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104754.34</v>
      </c>
      <c r="I605" s="108">
        <f>SUM(I602:I604)</f>
        <v>0</v>
      </c>
      <c r="J605" s="108">
        <f>SUM(J602:J604)</f>
        <v>547.54</v>
      </c>
      <c r="K605" s="108">
        <f>SUM(K602:K604)</f>
        <v>105301.87999999999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f>24601.92+1890</f>
        <v>26491.919999999998</v>
      </c>
      <c r="G611" s="18">
        <f>144.59+2026.63</f>
        <v>2171.2200000000003</v>
      </c>
      <c r="H611" s="18"/>
      <c r="I611" s="18">
        <v>253.69</v>
      </c>
      <c r="J611" s="18"/>
      <c r="K611" s="18"/>
      <c r="L611" s="88">
        <f>SUM(F611:K611)</f>
        <v>28916.829999999998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4221.57</v>
      </c>
      <c r="G613" s="18">
        <v>322.95</v>
      </c>
      <c r="H613" s="18"/>
      <c r="I613" s="18"/>
      <c r="J613" s="18"/>
      <c r="K613" s="18"/>
      <c r="L613" s="88">
        <f>SUM(F613:K613)</f>
        <v>4544.5199999999995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30713.489999999998</v>
      </c>
      <c r="G614" s="108">
        <f t="shared" si="49"/>
        <v>2494.17</v>
      </c>
      <c r="H614" s="108">
        <f t="shared" si="49"/>
        <v>0</v>
      </c>
      <c r="I614" s="108">
        <f t="shared" si="49"/>
        <v>253.69</v>
      </c>
      <c r="J614" s="108">
        <f t="shared" si="49"/>
        <v>0</v>
      </c>
      <c r="K614" s="108">
        <f t="shared" si="49"/>
        <v>0</v>
      </c>
      <c r="L614" s="89">
        <f t="shared" si="49"/>
        <v>33461.35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961498.84</v>
      </c>
      <c r="H617" s="109">
        <f>SUM(F52)</f>
        <v>961498.83999999985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10492.16</v>
      </c>
      <c r="H618" s="109">
        <f>SUM(G52)</f>
        <v>10492.16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0</v>
      </c>
      <c r="H619" s="109">
        <f>SUM(H52)</f>
        <v>0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431136.21</v>
      </c>
      <c r="H621" s="109">
        <f>SUM(J52)</f>
        <v>431136.21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614217.90999999992</v>
      </c>
      <c r="H622" s="109">
        <f>F476</f>
        <v>614217.91000000201</v>
      </c>
      <c r="I622" s="121" t="s">
        <v>101</v>
      </c>
      <c r="J622" s="109">
        <f t="shared" ref="J622:J655" si="50">G622-H622</f>
        <v>-2.0954757928848267E-9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-6205.97</v>
      </c>
      <c r="H623" s="109">
        <f>G476</f>
        <v>-6205.9700000000012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431136.21</v>
      </c>
      <c r="H626" s="109">
        <f>J476</f>
        <v>431136.21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11655040.190000001</v>
      </c>
      <c r="H627" s="104">
        <f>SUM(F468)</f>
        <v>11655040.190000001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134669.33000000002</v>
      </c>
      <c r="H628" s="104">
        <f>SUM(G468)</f>
        <v>134669.33000000002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65300.45</v>
      </c>
      <c r="H631" s="104">
        <f>SUM(J468)</f>
        <v>65300.45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11393840.469999999</v>
      </c>
      <c r="H632" s="104">
        <f>SUM(F472)</f>
        <v>11393840.469999999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994.07</v>
      </c>
      <c r="H634" s="104">
        <f>I369</f>
        <v>994.07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134668.71000000002</v>
      </c>
      <c r="H635" s="104">
        <f>SUM(G472)</f>
        <v>134668.71000000002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65300.45</v>
      </c>
      <c r="H637" s="164">
        <f>SUM(J468)</f>
        <v>65300.45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431136.21</v>
      </c>
      <c r="H640" s="104">
        <f>SUM(G461)</f>
        <v>431136.21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431136.21</v>
      </c>
      <c r="H642" s="104">
        <f>SUM(I461)</f>
        <v>431136.21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5300.45</v>
      </c>
      <c r="H644" s="104">
        <f>H408</f>
        <v>5300.4500000000007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60000</v>
      </c>
      <c r="H645" s="104">
        <f>G408</f>
        <v>60000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65300.45</v>
      </c>
      <c r="H646" s="104">
        <f>L408</f>
        <v>65300.45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519050.19</v>
      </c>
      <c r="H647" s="104">
        <f>L208+L226+L244</f>
        <v>519050.19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105301.87999999999</v>
      </c>
      <c r="H648" s="104">
        <f>(J257+J338)-(J255+J336)</f>
        <v>105301.87999999999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408164.48</v>
      </c>
      <c r="H649" s="104">
        <f>H598</f>
        <v>408164.48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110885.71</v>
      </c>
      <c r="H651" s="104">
        <f>J598</f>
        <v>110885.71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29738.39</v>
      </c>
      <c r="H652" s="104">
        <f>K263+K345</f>
        <v>29738.39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60000</v>
      </c>
      <c r="H655" s="104">
        <f>K266+K347</f>
        <v>60000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6619740.419999999</v>
      </c>
      <c r="G660" s="19">
        <f>(L229+L309+L359)</f>
        <v>0</v>
      </c>
      <c r="H660" s="19">
        <f>(L247+L328+L360)</f>
        <v>4819030.37</v>
      </c>
      <c r="I660" s="19">
        <f>SUM(F660:H660)</f>
        <v>11438770.789999999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59340.15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59340.15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408164.48</v>
      </c>
      <c r="G662" s="19">
        <f>(L226+L306)-(J226+J306)</f>
        <v>0</v>
      </c>
      <c r="H662" s="19">
        <f>(L244+L325)-(J244+J325)</f>
        <v>110885.71</v>
      </c>
      <c r="I662" s="19">
        <f>SUM(F662:H662)</f>
        <v>519050.19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550820.0199999999</v>
      </c>
      <c r="G663" s="199">
        <f>SUM(G575:G587)+SUM(I602:I604)+L612</f>
        <v>0</v>
      </c>
      <c r="H663" s="199">
        <f>SUM(H575:H587)+SUM(J602:J604)+L613</f>
        <v>4309963.17</v>
      </c>
      <c r="I663" s="19">
        <f>SUM(F663:H663)</f>
        <v>4860783.1899999995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5601415.7699999996</v>
      </c>
      <c r="G664" s="19">
        <f>G660-SUM(G661:G663)</f>
        <v>0</v>
      </c>
      <c r="H664" s="19">
        <f>H660-SUM(H661:H663)</f>
        <v>398181.49000000022</v>
      </c>
      <c r="I664" s="19">
        <f>I660-SUM(I661:I663)</f>
        <v>5999597.2599999998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375.89</v>
      </c>
      <c r="G665" s="248"/>
      <c r="H665" s="248"/>
      <c r="I665" s="19">
        <f>SUM(F665:H665)</f>
        <v>375.89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14901.74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15961.05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-398181.49</v>
      </c>
      <c r="I669" s="19">
        <f>SUM(F669:H669)</f>
        <v>-398181.49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14901.74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14901.74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abSelected="1"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Northwood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1468718</v>
      </c>
      <c r="C9" s="229">
        <f>'DOE25'!G197+'DOE25'!G215+'DOE25'!G233+'DOE25'!G276+'DOE25'!G295+'DOE25'!G314</f>
        <v>802370.38</v>
      </c>
    </row>
    <row r="10" spans="1:3" x14ac:dyDescent="0.2">
      <c r="A10" t="s">
        <v>773</v>
      </c>
      <c r="B10" s="240">
        <v>1329638.26</v>
      </c>
      <c r="C10" s="240">
        <v>750058.29</v>
      </c>
    </row>
    <row r="11" spans="1:3" x14ac:dyDescent="0.2">
      <c r="A11" t="s">
        <v>774</v>
      </c>
      <c r="B11" s="240">
        <v>97090.99</v>
      </c>
      <c r="C11" s="240">
        <v>49573.77</v>
      </c>
    </row>
    <row r="12" spans="1:3" x14ac:dyDescent="0.2">
      <c r="A12" t="s">
        <v>775</v>
      </c>
      <c r="B12" s="240">
        <v>41988.75</v>
      </c>
      <c r="C12" s="240">
        <v>2738.32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1468718</v>
      </c>
      <c r="C13" s="231">
        <f>SUM(C10:C12)</f>
        <v>802370.38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944893.78</v>
      </c>
      <c r="C18" s="229">
        <f>'DOE25'!G198+'DOE25'!G216+'DOE25'!G234+'DOE25'!G277+'DOE25'!G296+'DOE25'!G315</f>
        <v>375226.29</v>
      </c>
    </row>
    <row r="19" spans="1:3" x14ac:dyDescent="0.2">
      <c r="A19" t="s">
        <v>773</v>
      </c>
      <c r="B19" s="240">
        <v>257237.78</v>
      </c>
      <c r="C19" s="240">
        <v>108915.03</v>
      </c>
    </row>
    <row r="20" spans="1:3" x14ac:dyDescent="0.2">
      <c r="A20" t="s">
        <v>774</v>
      </c>
      <c r="B20" s="240">
        <v>468166.66</v>
      </c>
      <c r="C20" s="240">
        <v>247963.13</v>
      </c>
    </row>
    <row r="21" spans="1:3" x14ac:dyDescent="0.2">
      <c r="A21" t="s">
        <v>775</v>
      </c>
      <c r="B21" s="240">
        <v>219489.34</v>
      </c>
      <c r="C21" s="240">
        <v>18348.13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944893.77999999991</v>
      </c>
      <c r="C22" s="231">
        <f>SUM(C19:C21)</f>
        <v>375226.29000000004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34904.5</v>
      </c>
      <c r="C36" s="235">
        <f>'DOE25'!G200+'DOE25'!G218+'DOE25'!G236+'DOE25'!G279+'DOE25'!G298+'DOE25'!G317</f>
        <v>6224</v>
      </c>
    </row>
    <row r="37" spans="1:3" x14ac:dyDescent="0.2">
      <c r="A37" t="s">
        <v>773</v>
      </c>
      <c r="B37" s="240">
        <v>15689.5</v>
      </c>
      <c r="C37" s="240">
        <v>4504.04</v>
      </c>
    </row>
    <row r="38" spans="1:3" x14ac:dyDescent="0.2">
      <c r="A38" t="s">
        <v>774</v>
      </c>
      <c r="B38" s="240">
        <v>3080</v>
      </c>
      <c r="C38" s="240">
        <v>277.89999999999998</v>
      </c>
    </row>
    <row r="39" spans="1:3" x14ac:dyDescent="0.2">
      <c r="A39" t="s">
        <v>775</v>
      </c>
      <c r="B39" s="240">
        <v>16135</v>
      </c>
      <c r="C39" s="240">
        <v>1442.06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34904.5</v>
      </c>
      <c r="C40" s="231">
        <f>SUM(C37:C39)</f>
        <v>6224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Northwood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8657699.7399999984</v>
      </c>
      <c r="D5" s="20">
        <f>SUM('DOE25'!L197:L200)+SUM('DOE25'!L215:L218)+SUM('DOE25'!L233:L236)-F5-G5</f>
        <v>8636767.6299999971</v>
      </c>
      <c r="E5" s="243"/>
      <c r="F5" s="255">
        <f>SUM('DOE25'!J197:J200)+SUM('DOE25'!J215:J218)+SUM('DOE25'!J233:J236)</f>
        <v>13548.39</v>
      </c>
      <c r="G5" s="53">
        <f>SUM('DOE25'!K197:K200)+SUM('DOE25'!K215:K218)+SUM('DOE25'!K233:K236)</f>
        <v>7383.72</v>
      </c>
      <c r="H5" s="259"/>
    </row>
    <row r="6" spans="1:9" x14ac:dyDescent="0.2">
      <c r="A6" s="32">
        <v>2100</v>
      </c>
      <c r="B6" t="s">
        <v>795</v>
      </c>
      <c r="C6" s="245">
        <f t="shared" si="0"/>
        <v>307629.93000000011</v>
      </c>
      <c r="D6" s="20">
        <f>'DOE25'!L202+'DOE25'!L220+'DOE25'!L238-F6-G6</f>
        <v>304298.39000000007</v>
      </c>
      <c r="E6" s="243"/>
      <c r="F6" s="255">
        <f>'DOE25'!J202+'DOE25'!J220+'DOE25'!J238</f>
        <v>2918.71</v>
      </c>
      <c r="G6" s="53">
        <f>'DOE25'!K202+'DOE25'!K220+'DOE25'!K238</f>
        <v>412.83</v>
      </c>
      <c r="H6" s="259"/>
    </row>
    <row r="7" spans="1:9" x14ac:dyDescent="0.2">
      <c r="A7" s="32">
        <v>2200</v>
      </c>
      <c r="B7" t="s">
        <v>828</v>
      </c>
      <c r="C7" s="245">
        <f t="shared" si="0"/>
        <v>524268.81999999995</v>
      </c>
      <c r="D7" s="20">
        <f>'DOE25'!L203+'DOE25'!L221+'DOE25'!L239-F7-G7</f>
        <v>441473.48</v>
      </c>
      <c r="E7" s="243"/>
      <c r="F7" s="255">
        <f>'DOE25'!J203+'DOE25'!J221+'DOE25'!J239</f>
        <v>82630.34</v>
      </c>
      <c r="G7" s="53">
        <f>'DOE25'!K203+'DOE25'!K221+'DOE25'!K239</f>
        <v>165</v>
      </c>
      <c r="H7" s="259"/>
    </row>
    <row r="8" spans="1:9" x14ac:dyDescent="0.2">
      <c r="A8" s="32">
        <v>2300</v>
      </c>
      <c r="B8" t="s">
        <v>796</v>
      </c>
      <c r="C8" s="245">
        <f t="shared" si="0"/>
        <v>290999.88</v>
      </c>
      <c r="D8" s="243"/>
      <c r="E8" s="20">
        <f>'DOE25'!L204+'DOE25'!L222+'DOE25'!L240-F8-G8-D9-D11</f>
        <v>279018.89</v>
      </c>
      <c r="F8" s="255">
        <f>'DOE25'!J204+'DOE25'!J222+'DOE25'!J240</f>
        <v>0</v>
      </c>
      <c r="G8" s="53">
        <f>'DOE25'!K204+'DOE25'!K222+'DOE25'!K240</f>
        <v>11980.99</v>
      </c>
      <c r="H8" s="259"/>
    </row>
    <row r="9" spans="1:9" x14ac:dyDescent="0.2">
      <c r="A9" s="32">
        <v>2310</v>
      </c>
      <c r="B9" t="s">
        <v>812</v>
      </c>
      <c r="C9" s="245">
        <f t="shared" si="0"/>
        <v>59443.76</v>
      </c>
      <c r="D9" s="244">
        <v>59443.76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10350</v>
      </c>
      <c r="D10" s="243"/>
      <c r="E10" s="244">
        <v>10350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80303.64</v>
      </c>
      <c r="D11" s="244">
        <v>80303.64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338160.39</v>
      </c>
      <c r="D12" s="20">
        <f>'DOE25'!L205+'DOE25'!L223+'DOE25'!L241-F12-G12</f>
        <v>334086.09000000003</v>
      </c>
      <c r="E12" s="243"/>
      <c r="F12" s="255">
        <f>'DOE25'!J205+'DOE25'!J223+'DOE25'!J241</f>
        <v>364.6</v>
      </c>
      <c r="G12" s="53">
        <f>'DOE25'!K205+'DOE25'!K223+'DOE25'!K241</f>
        <v>3709.7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526545.73</v>
      </c>
      <c r="D14" s="20">
        <f>'DOE25'!L207+'DOE25'!L225+'DOE25'!L243-F14-G14</f>
        <v>520705.88999999996</v>
      </c>
      <c r="E14" s="243"/>
      <c r="F14" s="255">
        <f>'DOE25'!J207+'DOE25'!J225+'DOE25'!J243</f>
        <v>5839.84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519050.19</v>
      </c>
      <c r="D15" s="20">
        <f>'DOE25'!L208+'DOE25'!L226+'DOE25'!L244-F15-G15</f>
        <v>519050.19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134668.71000000002</v>
      </c>
      <c r="D29" s="20">
        <f>'DOE25'!L358+'DOE25'!L359+'DOE25'!L360-'DOE25'!I367-F29-G29</f>
        <v>132193.62000000002</v>
      </c>
      <c r="E29" s="243"/>
      <c r="F29" s="255">
        <f>'DOE25'!J358+'DOE25'!J359+'DOE25'!J360</f>
        <v>0</v>
      </c>
      <c r="G29" s="53">
        <f>'DOE25'!K358+'DOE25'!K359+'DOE25'!K360</f>
        <v>2475.09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11028322.689999998</v>
      </c>
      <c r="E33" s="246">
        <f>SUM(E5:E31)</f>
        <v>289368.89</v>
      </c>
      <c r="F33" s="246">
        <f>SUM(F5:F31)</f>
        <v>105301.88</v>
      </c>
      <c r="G33" s="246">
        <f>SUM(G5:G31)</f>
        <v>26127.33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289368.89</v>
      </c>
      <c r="E35" s="249"/>
    </row>
    <row r="36" spans="2:8" ht="12" thickTop="1" x14ac:dyDescent="0.2">
      <c r="B36" t="s">
        <v>809</v>
      </c>
      <c r="D36" s="20">
        <f>D33</f>
        <v>11028322.689999998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F13" sqref="F1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Northwood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916140.86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431136.21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16605.73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12572.52</v>
      </c>
      <c r="D12" s="95">
        <f>'DOE25'!G13</f>
        <v>3792.46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16174.41</v>
      </c>
      <c r="D13" s="95">
        <f>'DOE25'!G14</f>
        <v>5442.41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1257.29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5.32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961498.84</v>
      </c>
      <c r="D18" s="41">
        <f>SUM(D8:D17)</f>
        <v>10492.16</v>
      </c>
      <c r="E18" s="41">
        <f>SUM(E8:E17)</f>
        <v>0</v>
      </c>
      <c r="F18" s="41">
        <f>SUM(F8:F17)</f>
        <v>0</v>
      </c>
      <c r="G18" s="41">
        <f>SUM(G8:G17)</f>
        <v>431136.21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16605.73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46017.62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303591.19</v>
      </c>
      <c r="D23" s="95">
        <f>'DOE25'!G24</f>
        <v>92.4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-2327.88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347280.93</v>
      </c>
      <c r="D31" s="41">
        <f>SUM(D21:D30)</f>
        <v>16698.13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1257.29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-7463.26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227991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431136.21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376226.91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614217.90999999992</v>
      </c>
      <c r="D50" s="41">
        <f>SUM(D34:D49)</f>
        <v>-6205.97</v>
      </c>
      <c r="E50" s="41">
        <f>SUM(E34:E49)</f>
        <v>0</v>
      </c>
      <c r="F50" s="41">
        <f>SUM(F34:F49)</f>
        <v>0</v>
      </c>
      <c r="G50" s="41">
        <f>SUM(G34:G49)</f>
        <v>431136.21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961498.83999999985</v>
      </c>
      <c r="D51" s="41">
        <f>D50+D31</f>
        <v>10492.16</v>
      </c>
      <c r="E51" s="41">
        <f>E50+E31</f>
        <v>0</v>
      </c>
      <c r="F51" s="41">
        <f>F50+F31</f>
        <v>0</v>
      </c>
      <c r="G51" s="41">
        <f>G50+G31</f>
        <v>431136.21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8040649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7500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3890.05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5300.45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59340.15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66507.679999999993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77897.73</v>
      </c>
      <c r="D62" s="130">
        <f>SUM(D57:D61)</f>
        <v>59340.15</v>
      </c>
      <c r="E62" s="130">
        <f>SUM(E57:E61)</f>
        <v>0</v>
      </c>
      <c r="F62" s="130">
        <f>SUM(F57:F61)</f>
        <v>0</v>
      </c>
      <c r="G62" s="130">
        <f>SUM(G57:G61)</f>
        <v>5300.45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8118546.7300000004</v>
      </c>
      <c r="D63" s="22">
        <f>D56+D62</f>
        <v>59340.15</v>
      </c>
      <c r="E63" s="22">
        <f>E56+E62</f>
        <v>0</v>
      </c>
      <c r="F63" s="22">
        <f>F56+F62</f>
        <v>0</v>
      </c>
      <c r="G63" s="22">
        <f>G56+G62</f>
        <v>5300.45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2295003.1800000002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1078991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5002.8100000000004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3378996.99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79047.48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1957.31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79047.48</v>
      </c>
      <c r="D78" s="130">
        <f>SUM(D72:D77)</f>
        <v>1957.31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3458044.47</v>
      </c>
      <c r="D81" s="130">
        <f>SUM(D79:D80)+D78+D70</f>
        <v>1957.31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78448.990000000005</v>
      </c>
      <c r="D88" s="95">
        <f>SUM('DOE25'!G153:G161)</f>
        <v>43633.48</v>
      </c>
      <c r="E88" s="95">
        <f>SUM('DOE25'!H153:H161)</f>
        <v>0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78448.990000000005</v>
      </c>
      <c r="D91" s="131">
        <f>SUM(D85:D90)</f>
        <v>43633.48</v>
      </c>
      <c r="E91" s="131">
        <f>SUM(E85:E90)</f>
        <v>0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29738.39</v>
      </c>
      <c r="E96" s="95">
        <f>'DOE25'!H179</f>
        <v>0</v>
      </c>
      <c r="F96" s="95">
        <f>'DOE25'!I179</f>
        <v>0</v>
      </c>
      <c r="G96" s="95">
        <f>'DOE25'!J179</f>
        <v>60000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29738.39</v>
      </c>
      <c r="E103" s="86">
        <f>SUM(E93:E102)</f>
        <v>0</v>
      </c>
      <c r="F103" s="86">
        <f>SUM(F93:F102)</f>
        <v>0</v>
      </c>
      <c r="G103" s="86">
        <f>SUM(G93:G102)</f>
        <v>60000</v>
      </c>
    </row>
    <row r="104" spans="1:7" ht="12.75" thickTop="1" thickBot="1" x14ac:dyDescent="0.25">
      <c r="A104" s="33" t="s">
        <v>759</v>
      </c>
      <c r="C104" s="86">
        <f>C63+C81+C91+C103</f>
        <v>11655040.190000001</v>
      </c>
      <c r="D104" s="86">
        <f>D63+D81+D91+D103</f>
        <v>134669.33000000002</v>
      </c>
      <c r="E104" s="86">
        <f>E63+E81+E91+E103</f>
        <v>0</v>
      </c>
      <c r="F104" s="86">
        <f>F63+F81+F91+F103</f>
        <v>0</v>
      </c>
      <c r="G104" s="86">
        <f>G63+G81+G103</f>
        <v>65300.45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6020347.959999999</v>
      </c>
      <c r="D109" s="24" t="s">
        <v>286</v>
      </c>
      <c r="E109" s="95">
        <f>('DOE25'!L276)+('DOE25'!L295)+('DOE25'!L314)</f>
        <v>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2577168.4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60183.38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8657699.7400000002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307629.93000000011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524268.81999999995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430747.28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338160.39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526545.73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519050.19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134668.71000000002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2646402.34</v>
      </c>
      <c r="D128" s="86">
        <f>SUM(D118:D127)</f>
        <v>134668.71000000002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29738.39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65300.45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-5300.4499999999971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89738.39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11393840.470000001</v>
      </c>
      <c r="D145" s="86">
        <f>(D115+D128+D144)</f>
        <v>134668.71000000002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0"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Northwood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14902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14902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6020348</v>
      </c>
      <c r="D10" s="182">
        <f>ROUND((C10/$C$28)*100,1)</f>
        <v>52.9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2577168</v>
      </c>
      <c r="D11" s="182">
        <f>ROUND((C11/$C$28)*100,1)</f>
        <v>22.6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60183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307630</v>
      </c>
      <c r="D15" s="182">
        <f t="shared" ref="D15:D27" si="0">ROUND((C15/$C$28)*100,1)</f>
        <v>2.7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524269</v>
      </c>
      <c r="D16" s="182">
        <f t="shared" si="0"/>
        <v>4.5999999999999996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430747</v>
      </c>
      <c r="D17" s="182">
        <f t="shared" si="0"/>
        <v>3.8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338160</v>
      </c>
      <c r="D18" s="182">
        <f t="shared" si="0"/>
        <v>3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526546</v>
      </c>
      <c r="D20" s="182">
        <f t="shared" si="0"/>
        <v>4.5999999999999996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519050</v>
      </c>
      <c r="D21" s="182">
        <f t="shared" si="0"/>
        <v>4.5999999999999996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75328.850000000006</v>
      </c>
      <c r="D27" s="182">
        <f t="shared" si="0"/>
        <v>0.7</v>
      </c>
    </row>
    <row r="28" spans="1:4" x14ac:dyDescent="0.2">
      <c r="B28" s="187" t="s">
        <v>717</v>
      </c>
      <c r="C28" s="180">
        <f>SUM(C10:C27)</f>
        <v>11379429.85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11379429.85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8040649</v>
      </c>
      <c r="D35" s="182">
        <f t="shared" ref="D35:D40" si="1">ROUND((C35/$C$41)*100,1)</f>
        <v>68.7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83198.180000000633</v>
      </c>
      <c r="D36" s="182">
        <f t="shared" si="1"/>
        <v>0.7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3373994</v>
      </c>
      <c r="D37" s="182">
        <f t="shared" si="1"/>
        <v>28.8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86008</v>
      </c>
      <c r="D38" s="182">
        <f t="shared" si="1"/>
        <v>0.7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122082</v>
      </c>
      <c r="D39" s="182">
        <f t="shared" si="1"/>
        <v>1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11705931.18</v>
      </c>
      <c r="D41" s="184">
        <f>SUM(D35:D40)</f>
        <v>99.9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Northwood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2018-10-30T12:25:18Z</cp:lastPrinted>
  <dcterms:created xsi:type="dcterms:W3CDTF">1997-12-04T19:04:30Z</dcterms:created>
  <dcterms:modified xsi:type="dcterms:W3CDTF">2018-10-30T12:39:17Z</dcterms:modified>
</cp:coreProperties>
</file>