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4000" windowHeight="97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27" i="2" l="1"/>
  <c r="C28" i="2"/>
  <c r="F50" i="1" l="1"/>
  <c r="H197" i="1" l="1"/>
  <c r="H233" i="1"/>
  <c r="F611" i="1"/>
  <c r="F582" i="1" l="1"/>
  <c r="H579" i="1"/>
  <c r="H604" i="1"/>
  <c r="J591" i="1"/>
  <c r="H400" i="1"/>
  <c r="G439" i="1"/>
  <c r="G197" i="1"/>
  <c r="F468" i="1"/>
  <c r="F110" i="1"/>
  <c r="H204" i="1"/>
  <c r="H202" i="1"/>
  <c r="H208" i="1"/>
  <c r="F203" i="1"/>
  <c r="H238" i="1"/>
  <c r="I198" i="1"/>
  <c r="H198" i="1"/>
  <c r="F198" i="1"/>
  <c r="G202" i="1"/>
  <c r="H205" i="1"/>
  <c r="G205" i="1"/>
  <c r="F205" i="1"/>
  <c r="K203" i="1"/>
  <c r="G203" i="1"/>
  <c r="J203" i="1"/>
  <c r="I203" i="1"/>
  <c r="H203" i="1"/>
  <c r="I202" i="1"/>
  <c r="F202" i="1"/>
  <c r="K200" i="1"/>
  <c r="J200" i="1"/>
  <c r="I200" i="1"/>
  <c r="G200" i="1"/>
  <c r="F200" i="1"/>
  <c r="J197" i="1"/>
  <c r="I197" i="1"/>
  <c r="G472" i="1"/>
  <c r="G468" i="1"/>
  <c r="F367" i="1"/>
  <c r="G358" i="1"/>
  <c r="G40" i="1"/>
  <c r="F12" i="1"/>
  <c r="C45" i="2" l="1"/>
  <c r="G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9" i="10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C111" i="2" s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C123" i="2" s="1"/>
  <c r="L243" i="1"/>
  <c r="F15" i="13"/>
  <c r="G15" i="13"/>
  <c r="L208" i="1"/>
  <c r="F662" i="1" s="1"/>
  <c r="I662" i="1" s="1"/>
  <c r="L226" i="1"/>
  <c r="G662" i="1" s="1"/>
  <c r="L244" i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E119" i="2" s="1"/>
  <c r="L283" i="1"/>
  <c r="L284" i="1"/>
  <c r="L285" i="1"/>
  <c r="E122" i="2" s="1"/>
  <c r="L286" i="1"/>
  <c r="E123" i="2" s="1"/>
  <c r="L287" i="1"/>
  <c r="L288" i="1"/>
  <c r="L295" i="1"/>
  <c r="L296" i="1"/>
  <c r="L309" i="1" s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28" i="1" s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C32" i="10" s="1"/>
  <c r="L342" i="1"/>
  <c r="L255" i="1"/>
  <c r="L336" i="1"/>
  <c r="C29" i="10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A31" i="12" s="1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I60" i="1"/>
  <c r="F79" i="1"/>
  <c r="C57" i="2" s="1"/>
  <c r="F94" i="1"/>
  <c r="C58" i="2" s="1"/>
  <c r="F111" i="1"/>
  <c r="G111" i="1"/>
  <c r="H79" i="1"/>
  <c r="E57" i="2" s="1"/>
  <c r="E62" i="2" s="1"/>
  <c r="H94" i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40" i="1" s="1"/>
  <c r="J136" i="1"/>
  <c r="F147" i="1"/>
  <c r="F162" i="1"/>
  <c r="G147" i="1"/>
  <c r="D85" i="2" s="1"/>
  <c r="G162" i="1"/>
  <c r="H147" i="1"/>
  <c r="H162" i="1"/>
  <c r="I147" i="1"/>
  <c r="F85" i="2" s="1"/>
  <c r="I162" i="1"/>
  <c r="C12" i="10"/>
  <c r="C21" i="10"/>
  <c r="L250" i="1"/>
  <c r="L332" i="1"/>
  <c r="L254" i="1"/>
  <c r="C25" i="10"/>
  <c r="L268" i="1"/>
  <c r="L269" i="1"/>
  <c r="L349" i="1"/>
  <c r="E142" i="2" s="1"/>
  <c r="L350" i="1"/>
  <c r="I665" i="1"/>
  <c r="I670" i="1"/>
  <c r="H662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K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D27" i="2"/>
  <c r="E27" i="2"/>
  <c r="F27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E56" i="2"/>
  <c r="F56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E112" i="2"/>
  <c r="C113" i="2"/>
  <c r="E113" i="2"/>
  <c r="E114" i="2"/>
  <c r="D115" i="2"/>
  <c r="F115" i="2"/>
  <c r="G115" i="2"/>
  <c r="E120" i="2"/>
  <c r="E121" i="2"/>
  <c r="C122" i="2"/>
  <c r="E124" i="2"/>
  <c r="E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H192" i="1" s="1"/>
  <c r="I188" i="1"/>
  <c r="F211" i="1"/>
  <c r="G211" i="1"/>
  <c r="H211" i="1"/>
  <c r="I211" i="1"/>
  <c r="I257" i="1" s="1"/>
  <c r="I271" i="1" s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J644" i="1" s="1"/>
  <c r="I401" i="1"/>
  <c r="F407" i="1"/>
  <c r="G407" i="1"/>
  <c r="H407" i="1"/>
  <c r="I407" i="1"/>
  <c r="F408" i="1"/>
  <c r="H643" i="1" s="1"/>
  <c r="G408" i="1"/>
  <c r="H645" i="1" s="1"/>
  <c r="I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F460" i="1"/>
  <c r="G460" i="1"/>
  <c r="G461" i="1" s="1"/>
  <c r="H640" i="1" s="1"/>
  <c r="H460" i="1"/>
  <c r="F461" i="1"/>
  <c r="H639" i="1" s="1"/>
  <c r="H461" i="1"/>
  <c r="H641" i="1" s="1"/>
  <c r="F470" i="1"/>
  <c r="G470" i="1"/>
  <c r="H470" i="1"/>
  <c r="I470" i="1"/>
  <c r="G474" i="1"/>
  <c r="H474" i="1"/>
  <c r="I474" i="1"/>
  <c r="I476" i="1" s="1"/>
  <c r="H625" i="1" s="1"/>
  <c r="J625" i="1" s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F571" i="1" s="1"/>
  <c r="G565" i="1"/>
  <c r="H565" i="1"/>
  <c r="I565" i="1"/>
  <c r="J565" i="1"/>
  <c r="J571" i="1" s="1"/>
  <c r="K565" i="1"/>
  <c r="L567" i="1"/>
  <c r="L568" i="1"/>
  <c r="L570" i="1" s="1"/>
  <c r="L569" i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20" i="1"/>
  <c r="G623" i="1"/>
  <c r="G625" i="1"/>
  <c r="H627" i="1"/>
  <c r="H628" i="1"/>
  <c r="H629" i="1"/>
  <c r="H630" i="1"/>
  <c r="H633" i="1"/>
  <c r="H635" i="1"/>
  <c r="H636" i="1"/>
  <c r="G641" i="1"/>
  <c r="J641" i="1" s="1"/>
  <c r="G643" i="1"/>
  <c r="G644" i="1"/>
  <c r="G651" i="1"/>
  <c r="G652" i="1"/>
  <c r="H652" i="1"/>
  <c r="G653" i="1"/>
  <c r="H653" i="1"/>
  <c r="G654" i="1"/>
  <c r="H654" i="1"/>
  <c r="H655" i="1"/>
  <c r="J655" i="1" s="1"/>
  <c r="L351" i="1"/>
  <c r="A40" i="12"/>
  <c r="D18" i="13"/>
  <c r="C18" i="13" s="1"/>
  <c r="F18" i="2"/>
  <c r="D19" i="13"/>
  <c r="C19" i="13" s="1"/>
  <c r="E78" i="2"/>
  <c r="H169" i="1"/>
  <c r="H476" i="1"/>
  <c r="H624" i="1" s="1"/>
  <c r="G338" i="1"/>
  <c r="G352" i="1" s="1"/>
  <c r="F169" i="1"/>
  <c r="I552" i="1"/>
  <c r="G22" i="2"/>
  <c r="H552" i="1"/>
  <c r="F22" i="13"/>
  <c r="C22" i="13" s="1"/>
  <c r="H25" i="13"/>
  <c r="C25" i="13" s="1"/>
  <c r="H571" i="1"/>
  <c r="H338" i="1"/>
  <c r="H352" i="1" s="1"/>
  <c r="G36" i="2"/>
  <c r="L565" i="1"/>
  <c r="G552" i="1" l="1"/>
  <c r="K549" i="1"/>
  <c r="J552" i="1"/>
  <c r="J651" i="1"/>
  <c r="L401" i="1"/>
  <c r="C139" i="2" s="1"/>
  <c r="L393" i="1"/>
  <c r="C138" i="2" s="1"/>
  <c r="H545" i="1"/>
  <c r="K551" i="1"/>
  <c r="F552" i="1"/>
  <c r="J545" i="1"/>
  <c r="G545" i="1"/>
  <c r="G645" i="1"/>
  <c r="J640" i="1"/>
  <c r="J639" i="1"/>
  <c r="C120" i="2"/>
  <c r="C15" i="10"/>
  <c r="L247" i="1"/>
  <c r="H660" i="1" s="1"/>
  <c r="C110" i="2"/>
  <c r="L229" i="1"/>
  <c r="G660" i="1" s="1"/>
  <c r="G664" i="1" s="1"/>
  <c r="G672" i="1" s="1"/>
  <c r="C5" i="10" s="1"/>
  <c r="D14" i="13"/>
  <c r="C14" i="13" s="1"/>
  <c r="L270" i="1"/>
  <c r="D15" i="13"/>
  <c r="C15" i="13" s="1"/>
  <c r="C124" i="2"/>
  <c r="C18" i="10"/>
  <c r="H257" i="1"/>
  <c r="H271" i="1" s="1"/>
  <c r="C17" i="10"/>
  <c r="E8" i="13"/>
  <c r="C8" i="13" s="1"/>
  <c r="D6" i="13"/>
  <c r="C6" i="13" s="1"/>
  <c r="C118" i="2"/>
  <c r="C11" i="10"/>
  <c r="C10" i="10"/>
  <c r="C109" i="2"/>
  <c r="J257" i="1"/>
  <c r="J271" i="1" s="1"/>
  <c r="D5" i="13"/>
  <c r="C5" i="13" s="1"/>
  <c r="F257" i="1"/>
  <c r="F271" i="1" s="1"/>
  <c r="G192" i="1"/>
  <c r="H661" i="1"/>
  <c r="D127" i="2"/>
  <c r="D128" i="2" s="1"/>
  <c r="L362" i="1"/>
  <c r="C27" i="10" s="1"/>
  <c r="F661" i="1"/>
  <c r="D31" i="2"/>
  <c r="E63" i="2"/>
  <c r="E128" i="2"/>
  <c r="E81" i="2"/>
  <c r="E103" i="2"/>
  <c r="D18" i="2"/>
  <c r="C91" i="2"/>
  <c r="F78" i="2"/>
  <c r="F81" i="2" s="1"/>
  <c r="E31" i="2"/>
  <c r="D62" i="2"/>
  <c r="D63" i="2" s="1"/>
  <c r="D91" i="2"/>
  <c r="D29" i="13"/>
  <c r="C29" i="13" s="1"/>
  <c r="D7" i="13"/>
  <c r="C7" i="13" s="1"/>
  <c r="E16" i="13"/>
  <c r="C16" i="13" s="1"/>
  <c r="C18" i="2"/>
  <c r="I545" i="1"/>
  <c r="F112" i="1"/>
  <c r="C36" i="10" s="1"/>
  <c r="D17" i="13"/>
  <c r="C17" i="13" s="1"/>
  <c r="G650" i="1"/>
  <c r="C112" i="2"/>
  <c r="L211" i="1"/>
  <c r="C20" i="10"/>
  <c r="C16" i="10"/>
  <c r="C35" i="10"/>
  <c r="H112" i="1"/>
  <c r="H193" i="1" s="1"/>
  <c r="G629" i="1" s="1"/>
  <c r="J629" i="1" s="1"/>
  <c r="E13" i="13"/>
  <c r="C13" i="13" s="1"/>
  <c r="L290" i="1"/>
  <c r="C26" i="10"/>
  <c r="G649" i="1"/>
  <c r="J649" i="1" s="1"/>
  <c r="L614" i="1"/>
  <c r="L529" i="1"/>
  <c r="I460" i="1"/>
  <c r="I452" i="1"/>
  <c r="I446" i="1"/>
  <c r="G642" i="1" s="1"/>
  <c r="D145" i="2"/>
  <c r="C125" i="2"/>
  <c r="C121" i="2"/>
  <c r="C119" i="2"/>
  <c r="E109" i="2"/>
  <c r="E115" i="2" s="1"/>
  <c r="E145" i="2" s="1"/>
  <c r="G81" i="2"/>
  <c r="C62" i="2"/>
  <c r="C63" i="2" s="1"/>
  <c r="J643" i="1"/>
  <c r="K598" i="1"/>
  <c r="G647" i="1" s="1"/>
  <c r="I169" i="1"/>
  <c r="L544" i="1"/>
  <c r="L524" i="1"/>
  <c r="H33" i="13"/>
  <c r="D12" i="13"/>
  <c r="C12" i="13" s="1"/>
  <c r="H647" i="1"/>
  <c r="L534" i="1"/>
  <c r="G476" i="1"/>
  <c r="H623" i="1" s="1"/>
  <c r="J623" i="1" s="1"/>
  <c r="L433" i="1"/>
  <c r="L427" i="1"/>
  <c r="L382" i="1"/>
  <c r="G636" i="1" s="1"/>
  <c r="J636" i="1" s="1"/>
  <c r="J634" i="1"/>
  <c r="K338" i="1"/>
  <c r="K352" i="1" s="1"/>
  <c r="L256" i="1"/>
  <c r="K257" i="1"/>
  <c r="K271" i="1" s="1"/>
  <c r="G257" i="1"/>
  <c r="G271" i="1" s="1"/>
  <c r="F192" i="1"/>
  <c r="G164" i="2"/>
  <c r="G157" i="2"/>
  <c r="G156" i="2"/>
  <c r="C70" i="2"/>
  <c r="J645" i="1"/>
  <c r="G624" i="1"/>
  <c r="K500" i="1"/>
  <c r="C78" i="2"/>
  <c r="C81" i="2" s="1"/>
  <c r="G112" i="1"/>
  <c r="J62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J434" i="1"/>
  <c r="F434" i="1"/>
  <c r="K434" i="1"/>
  <c r="G134" i="2" s="1"/>
  <c r="G144" i="2" s="1"/>
  <c r="G145" i="2" s="1"/>
  <c r="F31" i="13"/>
  <c r="D31" i="13" s="1"/>
  <c r="C31" i="13" s="1"/>
  <c r="J193" i="1"/>
  <c r="G646" i="1" s="1"/>
  <c r="G169" i="1"/>
  <c r="C39" i="10" s="1"/>
  <c r="G140" i="1"/>
  <c r="F140" i="1"/>
  <c r="G63" i="2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A22" i="12"/>
  <c r="J652" i="1"/>
  <c r="G571" i="1"/>
  <c r="I434" i="1"/>
  <c r="G434" i="1"/>
  <c r="I663" i="1"/>
  <c r="K552" i="1" l="1"/>
  <c r="L408" i="1"/>
  <c r="G637" i="1" s="1"/>
  <c r="C141" i="2"/>
  <c r="C144" i="2" s="1"/>
  <c r="I461" i="1"/>
  <c r="H642" i="1" s="1"/>
  <c r="G638" i="1"/>
  <c r="J472" i="1"/>
  <c r="L545" i="1"/>
  <c r="J642" i="1"/>
  <c r="C128" i="2"/>
  <c r="C115" i="2"/>
  <c r="H648" i="1"/>
  <c r="J648" i="1" s="1"/>
  <c r="H664" i="1"/>
  <c r="H667" i="1" s="1"/>
  <c r="G667" i="1"/>
  <c r="I661" i="1"/>
  <c r="G635" i="1"/>
  <c r="J635" i="1" s="1"/>
  <c r="C28" i="10"/>
  <c r="D22" i="10" s="1"/>
  <c r="E51" i="2"/>
  <c r="F104" i="2"/>
  <c r="C104" i="2"/>
  <c r="E33" i="13"/>
  <c r="D35" i="13" s="1"/>
  <c r="L257" i="1"/>
  <c r="L271" i="1" s="1"/>
  <c r="J647" i="1"/>
  <c r="F660" i="1"/>
  <c r="F664" i="1" s="1"/>
  <c r="I193" i="1"/>
  <c r="G630" i="1" s="1"/>
  <c r="J630" i="1" s="1"/>
  <c r="F193" i="1"/>
  <c r="G627" i="1" s="1"/>
  <c r="J627" i="1" s="1"/>
  <c r="F33" i="13"/>
  <c r="G104" i="2"/>
  <c r="G631" i="1"/>
  <c r="D33" i="13"/>
  <c r="D36" i="13" s="1"/>
  <c r="G193" i="1"/>
  <c r="G628" i="1" s="1"/>
  <c r="J628" i="1" s="1"/>
  <c r="G626" i="1"/>
  <c r="J52" i="1"/>
  <c r="H621" i="1" s="1"/>
  <c r="J621" i="1" s="1"/>
  <c r="C38" i="10"/>
  <c r="H646" i="1" l="1"/>
  <c r="J646" i="1" s="1"/>
  <c r="J468" i="1"/>
  <c r="J470" i="1" s="1"/>
  <c r="J638" i="1"/>
  <c r="H638" i="1"/>
  <c r="J474" i="1"/>
  <c r="G632" i="1"/>
  <c r="F472" i="1"/>
  <c r="C145" i="2"/>
  <c r="D17" i="10"/>
  <c r="D27" i="10"/>
  <c r="D13" i="10"/>
  <c r="D12" i="10"/>
  <c r="D18" i="10"/>
  <c r="D16" i="10"/>
  <c r="D11" i="10"/>
  <c r="D23" i="10"/>
  <c r="H672" i="1"/>
  <c r="C6" i="10" s="1"/>
  <c r="D10" i="10"/>
  <c r="D26" i="10"/>
  <c r="C30" i="10"/>
  <c r="D19" i="10"/>
  <c r="D20" i="10"/>
  <c r="D15" i="10"/>
  <c r="D25" i="10"/>
  <c r="D24" i="10"/>
  <c r="D21" i="10"/>
  <c r="F672" i="1"/>
  <c r="C4" i="10" s="1"/>
  <c r="F667" i="1"/>
  <c r="I660" i="1"/>
  <c r="I664" i="1" s="1"/>
  <c r="I672" i="1" s="1"/>
  <c r="C7" i="10" s="1"/>
  <c r="C41" i="10"/>
  <c r="D38" i="10" s="1"/>
  <c r="H637" i="1" l="1"/>
  <c r="J637" i="1" s="1"/>
  <c r="H631" i="1"/>
  <c r="J631" i="1" s="1"/>
  <c r="J476" i="1"/>
  <c r="H626" i="1" s="1"/>
  <c r="J626" i="1" s="1"/>
  <c r="F474" i="1"/>
  <c r="F476" i="1" s="1"/>
  <c r="H622" i="1" s="1"/>
  <c r="H632" i="1"/>
  <c r="J632" i="1" s="1"/>
  <c r="D28" i="10"/>
  <c r="I667" i="1"/>
  <c r="D37" i="10"/>
  <c r="D36" i="10"/>
  <c r="D35" i="10"/>
  <c r="D40" i="10"/>
  <c r="D39" i="10"/>
  <c r="D41" i="10" l="1"/>
  <c r="F51" i="1"/>
  <c r="G622" i="1" s="1"/>
  <c r="C49" i="2"/>
  <c r="C50" i="2"/>
  <c r="C51" i="2" s="1"/>
  <c r="F52" i="1" l="1"/>
  <c r="H617" i="1" s="1"/>
  <c r="J617" i="1" s="1"/>
  <c r="J622" i="1"/>
  <c r="H656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<sst xmlns="http://schemas.openxmlformats.org/spreadsheetml/2006/main" count="3957" uniqueCount="913">
  <si>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</si>
  <si>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</si>
  <si>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</si>
  <si>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</si>
  <si>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</si>
  <si>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</si>
  <si>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</si>
  <si>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</si>
  <si>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</si>
  <si>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</si>
  <si>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</si>
  <si>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</si>
  <si>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</si>
  <si>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</si>
  <si>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</si>
  <si>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</si>
  <si>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</si>
  <si>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</si>
  <si>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</si>
  <si>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</si>
  <si>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</si>
  <si>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</si>
  <si>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</si>
  <si>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</si>
  <si>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</si>
  <si>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</si>
  <si>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</si>
  <si>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</si>
  <si>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</si>
  <si>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</si>
  <si>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</si>
  <si>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</si>
  <si>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</si>
  <si>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</si>
  <si>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</si>
  <si>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</si>
  <si>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</si>
  <si>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</si>
  <si>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</si>
  <si>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</si>
  <si>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</si>
  <si>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</si>
  <si>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</si>
  <si>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</si>
  <si>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</si>
  <si>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</si>
  <si>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</si>
  <si>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</si>
  <si>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</si>
  <si>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</si>
  <si>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</si>
  <si>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</si>
  <si>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</si>
  <si>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</si>
  <si>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</si>
  <si>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</si>
  <si>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</si>
  <si>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</si>
  <si>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</si>
  <si>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</si>
  <si>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</si>
  <si>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</si>
  <si>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</si>
  <si>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</si>
  <si>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</si>
  <si>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</si>
  <si>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</si>
  <si>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</si>
  <si>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</si>
  <si>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</si>
  <si>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</si>
  <si>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</si>
  <si>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</si>
  <si>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</si>
  <si>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</si>
  <si>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</si>
  <si>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</si>
  <si>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</si>
  <si>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</si>
  <si>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</si>
  <si>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</si>
  <si>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</si>
  <si>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</si>
  <si>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</si>
  <si>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</si>
  <si>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</si>
  <si>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</si>
  <si>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</si>
  <si>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</si>
  <si>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</si>
  <si>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</si>
  <si>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</si>
  <si>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</si>
  <si>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</si>
  <si>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</si>
  <si>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</si>
  <si>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</si>
  <si>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</si>
  <si>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</si>
  <si>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</si>
  <si>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</si>
  <si>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</si>
  <si>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</si>
  <si>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</si>
  <si>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</si>
  <si>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</si>
  <si>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</si>
  <si>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</si>
  <si>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</si>
  <si>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</si>
  <si>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</si>
  <si>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</si>
  <si>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</si>
  <si>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</si>
  <si>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</si>
  <si>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</si>
  <si>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</si>
  <si>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</si>
  <si>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</si>
  <si>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</si>
  <si>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</si>
  <si>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</si>
  <si>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</si>
  <si>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</si>
  <si>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</si>
  <si>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</si>
  <si>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</si>
  <si>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</si>
  <si>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</si>
  <si>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</si>
  <si>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</si>
  <si>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</si>
  <si>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</si>
  <si>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</si>
  <si>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</si>
  <si>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</si>
  <si>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</si>
  <si>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</si>
  <si>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</si>
  <si>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</si>
  <si>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</si>
  <si>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</si>
  <si>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</si>
  <si>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</si>
  <si>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</si>
  <si>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</si>
  <si>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</si>
  <si>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</si>
  <si>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</si>
  <si>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</si>
  <si>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</si>
  <si>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</si>
  <si>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</si>
  <si>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</si>
  <si>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</si>
  <si>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</si>
  <si>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</si>
  <si>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</si>
  <si>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</si>
  <si>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</si>
  <si>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</si>
  <si>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</si>
  <si>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</si>
  <si>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</si>
  <si>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</si>
  <si>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</si>
  <si>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</si>
  <si>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</si>
  <si>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</si>
  <si>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</si>
  <si>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</si>
  <si>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</si>
  <si>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</si>
  <si>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</si>
  <si>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</si>
  <si>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</si>
  <si>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</si>
  <si>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</si>
  <si>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</si>
  <si>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</si>
  <si>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</si>
  <si>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</si>
  <si>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</si>
  <si>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</si>
  <si>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</si>
  <si>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</si>
  <si>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</si>
  <si>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</si>
  <si>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</si>
  <si>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</si>
  <si>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</si>
  <si>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</si>
  <si>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</si>
  <si>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</si>
  <si>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</si>
  <si>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</si>
  <si>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</si>
  <si>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</si>
  <si>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</si>
  <si>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</si>
  <si>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</si>
  <si>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</si>
  <si>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</si>
  <si>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</si>
  <si>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</si>
  <si>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</si>
  <si>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</si>
  <si>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</si>
  <si>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</si>
  <si>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</si>
  <si>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</si>
  <si>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</si>
  <si>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</si>
  <si>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</si>
  <si>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</si>
  <si>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</si>
  <si>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</si>
  <si>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</si>
  <si>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</si>
  <si>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</si>
  <si>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</si>
  <si>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</si>
  <si>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</si>
  <si>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</si>
  <si>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</si>
  <si>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</si>
  <si>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</si>
  <si>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</si>
  <si>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</si>
  <si>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</si>
  <si>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</si>
  <si>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</si>
  <si>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</si>
  <si>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</si>
  <si>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</si>
  <si>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</si>
  <si>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</si>
  <si>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</si>
  <si>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</si>
  <si>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</si>
  <si>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</si>
  <si>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</si>
  <si>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</si>
  <si>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</si>
  <si>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</si>
  <si>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</si>
  <si>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</si>
  <si>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</si>
  <si>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</si>
  <si>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</si>
  <si>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</si>
  <si>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</si>
  <si>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</si>
  <si>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</si>
  <si>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</si>
  <si>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</si>
  <si>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</si>
  <si>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</si>
  <si>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</si>
  <si>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</si>
  <si>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</si>
  <si>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</si>
  <si>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</si>
  <si>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</si>
  <si>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</si>
  <si>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</si>
  <si>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</si>
  <si>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</si>
  <si>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</si>
  <si>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</si>
  <si>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</si>
  <si>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</si>
  <si>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</si>
  <si>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</si>
  <si>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</si>
  <si>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</si>
  <si>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</si>
  <si>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</si>
  <si>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</si>
  <si>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</si>
  <si>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</si>
  <si>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</si>
  <si>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</si>
  <si>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</si>
  <si>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</si>
  <si>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</si>
  <si>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</si>
  <si>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</si>
  <si>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</si>
  <si>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</si>
  <si>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</si>
  <si>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</si>
  <si>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</si>
  <si>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</si>
  <si>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</si>
  <si>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</si>
  <si>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</si>
  <si>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</si>
  <si>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</si>
  <si>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</si>
  <si>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</si>
  <si>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</si>
  <si>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</si>
  <si>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</si>
  <si>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</si>
  <si>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</si>
  <si>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</si>
  <si>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</si>
  <si>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</si>
  <si>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</si>
  <si>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</si>
  <si>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</si>
  <si>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</si>
  <si>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</si>
  <si>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</si>
  <si>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</si>
  <si>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</si>
  <si>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</si>
  <si>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</si>
  <si>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</si>
  <si>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</si>
  <si>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</si>
  <si>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</si>
  <si>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</si>
  <si>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</si>
  <si>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</si>
  <si>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</si>
  <si>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</si>
  <si>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</si>
  <si>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</si>
  <si>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</si>
  <si>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</si>
  <si>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</si>
  <si>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</si>
  <si>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</si>
  <si>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</si>
  <si>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</si>
  <si>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</si>
  <si>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</si>
  <si>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</si>
  <si>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</si>
  <si>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</si>
  <si>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</si>
  <si>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</si>
  <si>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</si>
  <si>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</si>
  <si>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</si>
  <si>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</si>
  <si>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</si>
  <si>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</si>
  <si>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</si>
  <si>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</si>
  <si>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</si>
  <si>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</si>
  <si>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</si>
  <si>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</si>
  <si>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</si>
  <si>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</si>
  <si>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</si>
  <si>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</si>
  <si>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</si>
  <si>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</si>
  <si>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</si>
  <si>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</si>
  <si>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</si>
  <si>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</si>
  <si>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</si>
  <si>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</si>
  <si>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</si>
  <si>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</si>
  <si>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</si>
  <si>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</si>
  <si>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</si>
  <si>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</si>
  <si>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</si>
  <si>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</si>
  <si>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</si>
  <si>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</si>
  <si>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</si>
  <si>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</si>
  <si>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</si>
  <si>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</si>
  <si>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</si>
  <si>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</si>
  <si>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</si>
  <si>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</si>
  <si>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</si>
  <si>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</si>
  <si>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</si>
  <si>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</si>
  <si>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</si>
  <si>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</si>
  <si>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</si>
  <si>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</si>
  <si>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</si>
  <si>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</si>
  <si>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</si>
  <si>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</si>
  <si>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</si>
  <si>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</si>
  <si>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</si>
  <si>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</si>
  <si>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</si>
  <si>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</si>
  <si>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</si>
  <si>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</si>
  <si>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</si>
  <si>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</si>
  <si>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</si>
  <si>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</si>
  <si>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</si>
  <si>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</si>
  <si>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</si>
  <si>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</si>
  <si>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</si>
  <si>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</si>
  <si>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</si>
  <si>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</si>
  <si>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</si>
  <si>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</si>
  <si>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</si>
  <si>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</si>
  <si>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</si>
  <si>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</si>
  <si>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</si>
  <si>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</si>
  <si>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</si>
  <si>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</si>
  <si>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</si>
  <si>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</si>
  <si>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</si>
  <si>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</si>
  <si>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</si>
  <si>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</si>
  <si>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</si>
  <si>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</si>
  <si>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</si>
  <si>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</si>
  <si>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</si>
  <si>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</si>
  <si>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</si>
  <si>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</si>
  <si>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</si>
  <si>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</si>
  <si>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</si>
  <si>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</si>
  <si>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</si>
  <si>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</si>
  <si>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</si>
  <si>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</si>
  <si>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</si>
  <si>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</si>
  <si>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</si>
  <si>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</si>
  <si>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</si>
  <si>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</si>
  <si>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</si>
  <si>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</si>
  <si>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</si>
  <si>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</si>
  <si>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</si>
  <si>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</si>
  <si>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</si>
  <si>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</si>
  <si>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</si>
  <si>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</si>
  <si>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</si>
  <si>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</si>
  <si>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</si>
  <si>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</si>
  <si>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</si>
  <si>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</si>
  <si>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</si>
  <si>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</si>
  <si>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</si>
  <si>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</si>
  <si>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</si>
  <si>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</si>
  <si>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</si>
  <si>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</si>
  <si>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</si>
  <si>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</si>
  <si>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</si>
  <si>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</si>
  <si>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</si>
  <si>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</si>
  <si>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</si>
  <si>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</si>
  <si>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</si>
  <si>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</si>
  <si>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</si>
  <si>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</si>
  <si>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</si>
  <si>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</si>
  <si>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</si>
  <si>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</si>
  <si>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</si>
  <si>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</si>
  <si>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</si>
  <si>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</si>
  <si>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</si>
  <si>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</si>
  <si>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</si>
  <si>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</si>
  <si>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</si>
  <si>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</si>
  <si>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</si>
  <si>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</si>
  <si>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</si>
  <si>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</si>
  <si>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</si>
  <si>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</si>
  <si>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</si>
  <si>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</si>
  <si>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</si>
  <si>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</si>
  <si>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</si>
  <si>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</si>
  <si>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</si>
  <si>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</si>
  <si>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</si>
  <si>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</si>
  <si>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</si>
  <si>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</si>
  <si>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</si>
  <si>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</si>
  <si>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</si>
  <si>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</si>
  <si>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</si>
  <si>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</si>
  <si>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</si>
  <si>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</si>
  <si>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</si>
  <si>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</si>
  <si>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</si>
  <si>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</si>
  <si>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</si>
  <si>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</si>
  <si>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</si>
  <si>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</si>
  <si>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</si>
  <si>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</si>
  <si>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</si>
  <si>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</si>
  <si>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</si>
  <si>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</si>
  <si>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</si>
  <si>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</si>
  <si>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</si>
  <si>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</si>
  <si>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</si>
  <si>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</si>
  <si>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</si>
  <si>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</si>
  <si>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</si>
  <si>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</si>
  <si>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</si>
  <si>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</si>
  <si>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</si>
  <si>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</si>
  <si>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</si>
  <si>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</si>
  <si>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</si>
  <si>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</si>
  <si>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</si>
  <si>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</si>
  <si>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</si>
  <si>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</si>
  <si>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</si>
  <si>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</si>
  <si>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</si>
  <si>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</si>
  <si>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</si>
  <si>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</si>
  <si>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</si>
  <si>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</si>
  <si>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</si>
  <si>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</si>
  <si>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</si>
  <si>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</si>
  <si>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</si>
  <si>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</si>
  <si>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</si>
  <si>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</si>
  <si>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</si>
  <si>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</si>
  <si>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</si>
  <si>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</si>
  <si>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</si>
  <si>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</si>
  <si>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</si>
  <si>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</si>
  <si>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</si>
  <si>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</si>
  <si>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</si>
  <si>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</si>
  <si>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</si>
  <si>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</si>
  <si>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</si>
  <si>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</si>
  <si>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</si>
  <si>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</si>
  <si>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</si>
  <si>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</si>
  <si>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</si>
  <si>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</si>
  <si>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</si>
  <si>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</si>
  <si>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</si>
  <si>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</si>
  <si>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</si>
  <si>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</si>
  <si>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</si>
  <si>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</si>
  <si>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</si>
  <si>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</si>
  <si>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</si>
  <si>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</si>
  <si>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</si>
  <si>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</si>
  <si>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</si>
  <si>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</si>
  <si>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</si>
  <si>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</si>
  <si>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</si>
  <si>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</si>
  <si>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</si>
  <si>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</si>
  <si>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</si>
  <si>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</si>
  <si>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</si>
  <si>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</si>
  <si>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</si>
  <si>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</si>
  <si>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</si>
  <si>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</si>
  <si>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</si>
  <si>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</si>
  <si>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</si>
  <si>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</si>
  <si>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</si>
  <si>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</si>
  <si>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</si>
  <si>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</si>
  <si>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</si>
  <si>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</si>
  <si>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</si>
  <si>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</si>
  <si>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</si>
  <si>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</si>
  <si>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</si>
  <si>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</si>
  <si>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</si>
  <si>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</si>
  <si>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</si>
  <si>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</si>
  <si>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</si>
  <si>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</si>
  <si>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</si>
  <si>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</si>
  <si>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</si>
  <si>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</si>
  <si>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</si>
  <si>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</si>
  <si>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</si>
  <si>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</si>
  <si>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</si>
  <si>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</si>
  <si>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</si>
  <si>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</si>
  <si>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</si>
  <si>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</si>
  <si>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</si>
  <si>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</si>
  <si>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</si>
  <si>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</si>
  <si>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</si>
  <si>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</si>
  <si>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</si>
  <si>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</si>
  <si>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</si>
  <si>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</si>
  <si>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</si>
  <si>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</si>
  <si>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</si>
  <si>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</si>
  <si>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</si>
  <si>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</si>
  <si>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</si>
  <si>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</si>
  <si>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</si>
  <si>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</si>
  <si>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</si>
  <si>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</si>
  <si>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</si>
  <si>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</si>
  <si>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</si>
  <si>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</si>
  <si>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</si>
  <si>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</si>
  <si>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</si>
  <si>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</si>
  <si>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</si>
  <si>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</si>
  <si>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</si>
  <si>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</si>
  <si>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</si>
  <si>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</si>
  <si>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</si>
  <si>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</si>
  <si>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</si>
  <si>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</si>
  <si>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</si>
  <si>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</si>
  <si>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</si>
  <si>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</si>
  <si>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</si>
  <si>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</si>
  <si>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</si>
  <si>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</si>
  <si>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</si>
  <si>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</si>
  <si>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</si>
  <si>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</si>
  <si>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</si>
  <si>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</si>
  <si>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</si>
  <si>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</si>
  <si>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</si>
  <si>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</si>
  <si>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</si>
  <si>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</si>
  <si>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</si>
  <si>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</si>
  <si>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</si>
  <si>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</si>
  <si>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</si>
  <si>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</si>
  <si>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</si>
  <si>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</si>
  <si>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</si>
  <si>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</si>
  <si>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</si>
  <si>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</si>
  <si>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</si>
  <si>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</si>
  <si>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</si>
  <si>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</si>
  <si>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</si>
  <si>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</si>
  <si>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</si>
  <si>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</si>
  <si>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</si>
  <si>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</si>
  <si>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</si>
  <si>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</si>
  <si>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</si>
  <si>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</si>
  <si>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</si>
  <si>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</si>
  <si>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</si>
  <si>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</si>
  <si>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</si>
  <si>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</si>
  <si>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</si>
  <si>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</si>
  <si>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</si>
  <si>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</si>
  <si>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</si>
  <si>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</si>
  <si>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</si>
  <si>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</si>
  <si>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</si>
  <si>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</si>
  <si>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</si>
  <si>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</si>
  <si>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</si>
  <si>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</si>
  <si>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</si>
  <si>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</si>
  <si>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</si>
  <si>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</si>
  <si>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</si>
  <si>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</si>
  <si>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</si>
  <si>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</si>
  <si>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</si>
  <si>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</si>
  <si>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</si>
  <si>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</si>
  <si>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</si>
  <si>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</si>
  <si>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</si>
  <si>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</si>
  <si>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</si>
  <si>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</si>
  <si>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</si>
  <si>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</si>
  <si>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</si>
  <si>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</si>
  <si>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</si>
  <si>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</si>
  <si>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</si>
  <si>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</si>
  <si>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</si>
  <si>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</si>
  <si>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</si>
  <si>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</si>
  <si>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</si>
  <si>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</si>
  <si>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</si>
  <si>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</si>
  <si>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</si>
  <si>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</si>
  <si>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</si>
  <si>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</si>
  <si>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</si>
  <si>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</si>
  <si>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</si>
  <si>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</si>
  <si>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</si>
  <si>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</si>
  <si>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</si>
  <si>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</si>
  <si>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</si>
  <si>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</si>
  <si>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</si>
  <si>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</si>
  <si>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</si>
  <si>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</si>
  <si>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</si>
  <si>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</si>
  <si>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</si>
  <si>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</si>
  <si>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</si>
  <si>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</si>
  <si>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</si>
  <si>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</si>
  <si>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</si>
  <si>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</si>
  <si>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</si>
  <si>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</si>
  <si>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</si>
  <si>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</si>
  <si>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</si>
  <si>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</si>
  <si>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</si>
  <si>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</si>
  <si>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</si>
  <si>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</si>
  <si>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</si>
  <si>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</si>
  <si>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</si>
  <si>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</si>
  <si>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</si>
  <si>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</si>
  <si>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</si>
  <si>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</si>
  <si>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</si>
  <si>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</si>
  <si>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</si>
  <si>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</si>
  <si>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</si>
  <si>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</si>
  <si>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</si>
  <si>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</si>
  <si>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</si>
  <si>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</si>
  <si>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</si>
  <si>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</si>
  <si>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</si>
  <si>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</si>
  <si>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</si>
  <si>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</si>
  <si>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</si>
  <si>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</si>
  <si>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</si>
  <si>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</si>
  <si>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</si>
  <si>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</si>
  <si>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</si>
  <si>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</si>
  <si>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</si>
  <si>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</si>
  <si>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</si>
  <si>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</si>
  <si>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</si>
  <si>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</si>
  <si>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</si>
  <si>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</si>
  <si>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</si>
  <si>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</si>
  <si>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</si>
  <si>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</si>
  <si>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</si>
  <si>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</si>
  <si>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</si>
  <si>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</si>
  <si>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</si>
  <si>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</si>
  <si>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</si>
  <si>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</si>
  <si>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</si>
  <si>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</si>
  <si>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</si>
  <si>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</si>
  <si>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</si>
  <si>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</si>
  <si>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</si>
  <si>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</si>
  <si>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</si>
  <si>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</si>
  <si>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Nottingham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</si>
</sst>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E665" sqref="E665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413</v>
      </c>
      <c r="C2" s="21">
        <v>413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721095.12</v>
      </c>
      <c r="G9" s="18"/>
      <c r="H9" s="18"/>
      <c r="I9" s="18"/>
      <c r="J9" s="67">
        <f>SUM(I439)</f>
        <v>238264.62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f>7259.8+4688.8</f>
        <v>11948.6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83325.22</v>
      </c>
      <c r="G14" s="18">
        <v>8008.34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3201.09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816368.94</v>
      </c>
      <c r="G19" s="41">
        <f>SUM(G9:G18)</f>
        <v>11209.43</v>
      </c>
      <c r="H19" s="41">
        <f>SUM(H9:H18)</f>
        <v>0</v>
      </c>
      <c r="I19" s="41">
        <f>SUM(I9:I18)</f>
        <v>0</v>
      </c>
      <c r="J19" s="41">
        <f>SUM(J9:J18)</f>
        <v>238264.62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v>11948.6</v>
      </c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298281.82</v>
      </c>
      <c r="G24" s="18">
        <v>586.91</v>
      </c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66130.850000000006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>
        <v>105.87</v>
      </c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364412.67000000004</v>
      </c>
      <c r="G32" s="41">
        <f>SUM(G22:G31)</f>
        <v>12641.380000000001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3201.09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f>-4691.04+58</f>
        <v>-4633.04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85000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60000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238264.62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451956.27-85000-60000</f>
        <v>306956.27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451956.27</v>
      </c>
      <c r="G51" s="41">
        <f>SUM(G35:G50)</f>
        <v>-1431.9499999999998</v>
      </c>
      <c r="H51" s="41">
        <f>SUM(H35:H50)</f>
        <v>0</v>
      </c>
      <c r="I51" s="41">
        <f>SUM(I35:I50)</f>
        <v>0</v>
      </c>
      <c r="J51" s="41">
        <f>SUM(J35:J50)</f>
        <v>238264.62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816368.94000000006</v>
      </c>
      <c r="G52" s="41">
        <f>G51+G32</f>
        <v>11209.43</v>
      </c>
      <c r="H52" s="41">
        <f>H51+H32</f>
        <v>0</v>
      </c>
      <c r="I52" s="41">
        <f>I51+I32</f>
        <v>0</v>
      </c>
      <c r="J52" s="41">
        <f>J51+J32</f>
        <v>238264.62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8613107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8613107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7575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7575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2259.34</v>
      </c>
      <c r="G96" s="18"/>
      <c r="H96" s="18"/>
      <c r="I96" s="18"/>
      <c r="J96" s="18">
        <v>1752.37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82172.77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41685.84</f>
        <v>41685.839999999997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43945.179999999993</v>
      </c>
      <c r="G111" s="41">
        <f>SUM(G96:G110)</f>
        <v>82172.77</v>
      </c>
      <c r="H111" s="41">
        <f>SUM(H96:H110)</f>
        <v>0</v>
      </c>
      <c r="I111" s="41">
        <f>SUM(I96:I110)</f>
        <v>0</v>
      </c>
      <c r="J111" s="41">
        <f>SUM(J96:J110)</f>
        <v>1752.37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8664627.1799999997</v>
      </c>
      <c r="G112" s="41">
        <f>G60+G111</f>
        <v>82172.77</v>
      </c>
      <c r="H112" s="41">
        <f>H60+H79+H94+H111</f>
        <v>0</v>
      </c>
      <c r="I112" s="41">
        <f>I60+I111</f>
        <v>0</v>
      </c>
      <c r="J112" s="41">
        <f>J60+J111</f>
        <v>1752.37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1553173.99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1302005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5574.16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2860753.1500000004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21878.05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2453.1799999999998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45675.78</v>
      </c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67553.83</v>
      </c>
      <c r="G136" s="41">
        <f>SUM(G123:G135)</f>
        <v>2453.1799999999998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2928306.9800000004</v>
      </c>
      <c r="G140" s="41">
        <f>G121+SUM(G136:G137)</f>
        <v>2453.1799999999998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/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35840.74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70624.649999999994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70624.649999999994</v>
      </c>
      <c r="G162" s="41">
        <f>SUM(G150:G161)</f>
        <v>35840.74</v>
      </c>
      <c r="H162" s="41">
        <f>SUM(H150:H161)</f>
        <v>0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70624.649999999994</v>
      </c>
      <c r="G169" s="41">
        <f>G147+G162+SUM(G163:G168)</f>
        <v>35840.74</v>
      </c>
      <c r="H169" s="41">
        <f>H147+H162+SUM(H163:H168)</f>
        <v>0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23897.57</v>
      </c>
      <c r="H179" s="18"/>
      <c r="I179" s="18"/>
      <c r="J179" s="18">
        <v>70000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23897.57</v>
      </c>
      <c r="H183" s="41">
        <f>SUM(H179:H182)</f>
        <v>0</v>
      </c>
      <c r="I183" s="41">
        <f>SUM(I179:I182)</f>
        <v>0</v>
      </c>
      <c r="J183" s="41">
        <f>SUM(J179:J182)</f>
        <v>70000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23897.57</v>
      </c>
      <c r="H192" s="41">
        <f>+H183+SUM(H188:H191)</f>
        <v>0</v>
      </c>
      <c r="I192" s="41">
        <f>I177+I183+SUM(I188:I191)</f>
        <v>0</v>
      </c>
      <c r="J192" s="41">
        <f>J183</f>
        <v>70000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11663558.810000001</v>
      </c>
      <c r="G193" s="47">
        <f>G112+G140+G169+G192</f>
        <v>144364.26</v>
      </c>
      <c r="H193" s="47">
        <f>H112+H140+H169+H192</f>
        <v>0</v>
      </c>
      <c r="I193" s="47">
        <f>I112+I140+I169+I192</f>
        <v>0</v>
      </c>
      <c r="J193" s="47">
        <f>J112+J140+J192</f>
        <v>71752.37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2172453.81</v>
      </c>
      <c r="G197" s="18">
        <f>1055245.99+682.06</f>
        <v>1055928.05</v>
      </c>
      <c r="H197" s="18">
        <f>3210053.93-910747.83-2282141.26</f>
        <v>17164.840000000317</v>
      </c>
      <c r="I197" s="18">
        <f>68102.85-1061.33</f>
        <v>67041.52</v>
      </c>
      <c r="J197" s="18">
        <f>4569.18-547.54</f>
        <v>4021.6400000000003</v>
      </c>
      <c r="K197" s="18">
        <v>131</v>
      </c>
      <c r="L197" s="19">
        <f>SUM(F197:K197)</f>
        <v>3316740.8600000008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824192.43-230</f>
        <v>823962.43</v>
      </c>
      <c r="G198" s="18">
        <v>280534.69</v>
      </c>
      <c r="H198" s="18">
        <f>733993.79-354039.19</f>
        <v>379954.60000000003</v>
      </c>
      <c r="I198" s="18">
        <f>6327.52-346.07</f>
        <v>5981.4500000000007</v>
      </c>
      <c r="J198" s="18">
        <v>942.7</v>
      </c>
      <c r="K198" s="18">
        <v>5468.65</v>
      </c>
      <c r="L198" s="19">
        <f>SUM(F198:K198)</f>
        <v>1496844.52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f>17600+15000</f>
        <v>32600</v>
      </c>
      <c r="G200" s="18">
        <f>3777.77+1668.3</f>
        <v>5446.07</v>
      </c>
      <c r="H200" s="18">
        <v>4381.46</v>
      </c>
      <c r="I200" s="18">
        <f>239.25+1898.22</f>
        <v>2137.4700000000003</v>
      </c>
      <c r="J200" s="18">
        <f>1241.75</f>
        <v>1241.75</v>
      </c>
      <c r="K200" s="18">
        <f>423+675</f>
        <v>1098</v>
      </c>
      <c r="L200" s="19">
        <f>SUM(F200:K200)</f>
        <v>46904.75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105728+80339+108349.18</f>
        <v>294416.18</v>
      </c>
      <c r="G202" s="18">
        <f>68886.53+37275.39+55882.45</f>
        <v>162044.37</v>
      </c>
      <c r="H202" s="18">
        <f>125+107680.25+1113.92-1113.92-1407.82</f>
        <v>106397.43</v>
      </c>
      <c r="I202" s="18">
        <f>1148.9+3316.83+380.29</f>
        <v>4846.0199999999995</v>
      </c>
      <c r="J202" s="18"/>
      <c r="K202" s="18"/>
      <c r="L202" s="19">
        <f t="shared" ref="L202:L208" si="0">SUM(F202:K202)</f>
        <v>567704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16722+73944.73+75875.86+68373.75-73944.73</f>
        <v>160971.60999999999</v>
      </c>
      <c r="G203" s="18">
        <f>37446.97+36867.83+44001.17+30694.69</f>
        <v>149010.66</v>
      </c>
      <c r="H203" s="18">
        <f>29018.62+1951.46</f>
        <v>30970.079999999998</v>
      </c>
      <c r="I203" s="18">
        <f>253.08+10343.09+11937.62</f>
        <v>22533.79</v>
      </c>
      <c r="J203" s="18">
        <f>7637.56+109324.73</f>
        <v>116962.29</v>
      </c>
      <c r="K203" s="18">
        <f>25+349+45</f>
        <v>419</v>
      </c>
      <c r="L203" s="19">
        <f t="shared" si="0"/>
        <v>480867.43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12973.78</v>
      </c>
      <c r="G204" s="18">
        <v>948.54</v>
      </c>
      <c r="H204" s="18">
        <f>30248.48+312892.4</f>
        <v>343140.88</v>
      </c>
      <c r="I204" s="18"/>
      <c r="J204" s="18"/>
      <c r="K204" s="18">
        <v>3566.82</v>
      </c>
      <c r="L204" s="19">
        <f t="shared" si="0"/>
        <v>360630.02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f>240942.12</f>
        <v>240942.12</v>
      </c>
      <c r="G205" s="18">
        <f>105196.18</f>
        <v>105196.18</v>
      </c>
      <c r="H205" s="18">
        <f>13033.76</f>
        <v>13033.76</v>
      </c>
      <c r="I205" s="18">
        <v>3708.65</v>
      </c>
      <c r="J205" s="18"/>
      <c r="K205" s="18">
        <v>1494</v>
      </c>
      <c r="L205" s="19">
        <f t="shared" si="0"/>
        <v>364374.71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156216.04999999999</v>
      </c>
      <c r="G207" s="18">
        <v>65422.42</v>
      </c>
      <c r="H207" s="18">
        <v>111342.5</v>
      </c>
      <c r="I207" s="18">
        <v>145620.37</v>
      </c>
      <c r="J207" s="18">
        <v>15724.69</v>
      </c>
      <c r="K207" s="18"/>
      <c r="L207" s="19">
        <f t="shared" si="0"/>
        <v>494326.02999999997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f>695942.12-207285.55</f>
        <v>488656.57</v>
      </c>
      <c r="I208" s="18"/>
      <c r="J208" s="18"/>
      <c r="K208" s="18"/>
      <c r="L208" s="19">
        <f t="shared" si="0"/>
        <v>488656.57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3894535.98</v>
      </c>
      <c r="G211" s="41">
        <f t="shared" si="1"/>
        <v>1824530.98</v>
      </c>
      <c r="H211" s="41">
        <f t="shared" si="1"/>
        <v>1495042.1200000003</v>
      </c>
      <c r="I211" s="41">
        <f t="shared" si="1"/>
        <v>251869.27</v>
      </c>
      <c r="J211" s="41">
        <f t="shared" si="1"/>
        <v>138893.06999999998</v>
      </c>
      <c r="K211" s="41">
        <f t="shared" si="1"/>
        <v>12177.47</v>
      </c>
      <c r="L211" s="41">
        <f t="shared" si="1"/>
        <v>7617048.8900000006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f>910747.83+2282141.26</f>
        <v>3192889.09</v>
      </c>
      <c r="I233" s="18">
        <v>1061.33</v>
      </c>
      <c r="J233" s="18">
        <v>547.54</v>
      </c>
      <c r="K233" s="18"/>
      <c r="L233" s="19">
        <f>SUM(F233:K233)</f>
        <v>3194497.96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230</v>
      </c>
      <c r="G234" s="18"/>
      <c r="H234" s="18">
        <v>354039.19</v>
      </c>
      <c r="I234" s="18">
        <v>346.07</v>
      </c>
      <c r="J234" s="18"/>
      <c r="K234" s="18"/>
      <c r="L234" s="19">
        <f>SUM(F234:K234)</f>
        <v>354615.26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>
        <f>1407.82+1113.92</f>
        <v>2521.7399999999998</v>
      </c>
      <c r="I238" s="18"/>
      <c r="J238" s="18"/>
      <c r="K238" s="18"/>
      <c r="L238" s="19">
        <f t="shared" ref="L238:L244" si="4">SUM(F238:K238)</f>
        <v>2521.7399999999998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73944.73</v>
      </c>
      <c r="G239" s="18"/>
      <c r="H239" s="18"/>
      <c r="I239" s="18"/>
      <c r="J239" s="18"/>
      <c r="K239" s="18"/>
      <c r="L239" s="19">
        <f t="shared" si="4"/>
        <v>73944.73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>
        <v>140574.84</v>
      </c>
      <c r="I240" s="18"/>
      <c r="J240" s="18"/>
      <c r="K240" s="18"/>
      <c r="L240" s="19">
        <f t="shared" si="4"/>
        <v>140574.84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207285.55</v>
      </c>
      <c r="I244" s="18"/>
      <c r="J244" s="18"/>
      <c r="K244" s="18"/>
      <c r="L244" s="19">
        <f t="shared" si="4"/>
        <v>207285.55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74174.73</v>
      </c>
      <c r="G247" s="41">
        <f t="shared" si="5"/>
        <v>0</v>
      </c>
      <c r="H247" s="41">
        <f t="shared" si="5"/>
        <v>3897310.4099999997</v>
      </c>
      <c r="I247" s="41">
        <f t="shared" si="5"/>
        <v>1407.3999999999999</v>
      </c>
      <c r="J247" s="41">
        <f t="shared" si="5"/>
        <v>547.54</v>
      </c>
      <c r="K247" s="41">
        <f t="shared" si="5"/>
        <v>0</v>
      </c>
      <c r="L247" s="41">
        <f t="shared" si="5"/>
        <v>3973440.0799999996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3968710.71</v>
      </c>
      <c r="G257" s="41">
        <f t="shared" si="8"/>
        <v>1824530.98</v>
      </c>
      <c r="H257" s="41">
        <f t="shared" si="8"/>
        <v>5392352.5300000003</v>
      </c>
      <c r="I257" s="41">
        <f t="shared" si="8"/>
        <v>253276.66999999998</v>
      </c>
      <c r="J257" s="41">
        <f t="shared" si="8"/>
        <v>139440.60999999999</v>
      </c>
      <c r="K257" s="41">
        <f t="shared" si="8"/>
        <v>12177.47</v>
      </c>
      <c r="L257" s="41">
        <f t="shared" si="8"/>
        <v>11590488.970000001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23897.57</v>
      </c>
      <c r="L263" s="19">
        <f>SUM(F263:K263)</f>
        <v>23897.57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70000</v>
      </c>
      <c r="L266" s="19">
        <f t="shared" si="9"/>
        <v>70000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93897.57</v>
      </c>
      <c r="L270" s="41">
        <f t="shared" si="9"/>
        <v>93897.57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3968710.71</v>
      </c>
      <c r="G271" s="42">
        <f t="shared" si="11"/>
        <v>1824530.98</v>
      </c>
      <c r="H271" s="42">
        <f t="shared" si="11"/>
        <v>5392352.5300000003</v>
      </c>
      <c r="I271" s="42">
        <f t="shared" si="11"/>
        <v>253276.66999999998</v>
      </c>
      <c r="J271" s="42">
        <f t="shared" si="11"/>
        <v>139440.60999999999</v>
      </c>
      <c r="K271" s="42">
        <f t="shared" si="11"/>
        <v>106075.04000000001</v>
      </c>
      <c r="L271" s="42">
        <f t="shared" si="11"/>
        <v>11684386.540000001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71227.28</v>
      </c>
      <c r="G358" s="18">
        <f>9668.28+544.2+21.42+5559.22+4945.46+1437.5</f>
        <v>22176.080000000002</v>
      </c>
      <c r="H358" s="18">
        <v>599.29999999999995</v>
      </c>
      <c r="I358" s="18">
        <v>50303.6</v>
      </c>
      <c r="J358" s="18"/>
      <c r="K358" s="18"/>
      <c r="L358" s="13">
        <f>SUM(F358:K358)</f>
        <v>144306.26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71227.28</v>
      </c>
      <c r="G362" s="47">
        <f t="shared" si="22"/>
        <v>22176.080000000002</v>
      </c>
      <c r="H362" s="47">
        <f t="shared" si="22"/>
        <v>599.29999999999995</v>
      </c>
      <c r="I362" s="47">
        <f t="shared" si="22"/>
        <v>50303.6</v>
      </c>
      <c r="J362" s="47">
        <f t="shared" si="22"/>
        <v>0</v>
      </c>
      <c r="K362" s="47">
        <f t="shared" si="22"/>
        <v>0</v>
      </c>
      <c r="L362" s="47">
        <f t="shared" si="22"/>
        <v>144306.26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f>50303.6-299</f>
        <v>50004.6</v>
      </c>
      <c r="G367" s="18"/>
      <c r="H367" s="18"/>
      <c r="I367" s="56">
        <f>SUM(F367:H367)</f>
        <v>50004.6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299</v>
      </c>
      <c r="G368" s="63"/>
      <c r="H368" s="63"/>
      <c r="I368" s="56">
        <f>SUM(F368:H368)</f>
        <v>299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50303.6</v>
      </c>
      <c r="G369" s="47">
        <f>SUM(G367:G368)</f>
        <v>0</v>
      </c>
      <c r="H369" s="47">
        <f>SUM(H367:H368)</f>
        <v>0</v>
      </c>
      <c r="I369" s="47">
        <f>SUM(I367:I368)</f>
        <v>50303.6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>
        <v>25000</v>
      </c>
      <c r="H389" s="18">
        <v>515.5</v>
      </c>
      <c r="I389" s="18"/>
      <c r="J389" s="24" t="s">
        <v>286</v>
      </c>
      <c r="K389" s="24" t="s">
        <v>286</v>
      </c>
      <c r="L389" s="56">
        <f t="shared" si="25"/>
        <v>25515.5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25000</v>
      </c>
      <c r="H393" s="139">
        <f>SUM(H387:H392)</f>
        <v>515.5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25515.5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25000</v>
      </c>
      <c r="H396" s="18">
        <v>338.12</v>
      </c>
      <c r="I396" s="18"/>
      <c r="J396" s="24" t="s">
        <v>286</v>
      </c>
      <c r="K396" s="24" t="s">
        <v>286</v>
      </c>
      <c r="L396" s="56">
        <f t="shared" si="26"/>
        <v>25338.12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675.41</v>
      </c>
      <c r="I397" s="18"/>
      <c r="J397" s="24" t="s">
        <v>286</v>
      </c>
      <c r="K397" s="24" t="s">
        <v>286</v>
      </c>
      <c r="L397" s="56">
        <f t="shared" si="26"/>
        <v>675.41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>
        <v>20000</v>
      </c>
      <c r="H400" s="18">
        <f>222.59+0.75</f>
        <v>223.34</v>
      </c>
      <c r="I400" s="18"/>
      <c r="J400" s="24" t="s">
        <v>286</v>
      </c>
      <c r="K400" s="24" t="s">
        <v>286</v>
      </c>
      <c r="L400" s="56">
        <f t="shared" si="26"/>
        <v>20223.34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45000</v>
      </c>
      <c r="H401" s="47">
        <f>SUM(H395:H400)</f>
        <v>1236.8699999999999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46236.869999999995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70000</v>
      </c>
      <c r="H408" s="47">
        <f>H393+H401+H407</f>
        <v>1752.37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71752.37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>
        <v>57000</v>
      </c>
      <c r="I422" s="18"/>
      <c r="J422" s="18"/>
      <c r="K422" s="18"/>
      <c r="L422" s="56">
        <f t="shared" si="29"/>
        <v>57000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57000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57000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57000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57000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86880.5</v>
      </c>
      <c r="G439" s="18">
        <f>7263.12+40246.59+103874.41</f>
        <v>151384.12</v>
      </c>
      <c r="H439" s="18"/>
      <c r="I439" s="56">
        <f t="shared" ref="I439:I445" si="33">SUM(F439:H439)</f>
        <v>238264.62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86880.5</v>
      </c>
      <c r="G446" s="13">
        <f>SUM(G439:G445)</f>
        <v>151384.12</v>
      </c>
      <c r="H446" s="13">
        <f>SUM(H439:H445)</f>
        <v>0</v>
      </c>
      <c r="I446" s="13">
        <f>SUM(I439:I445)</f>
        <v>238264.62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86880.5</v>
      </c>
      <c r="G459" s="18">
        <v>151384.12</v>
      </c>
      <c r="H459" s="18"/>
      <c r="I459" s="56">
        <f t="shared" si="34"/>
        <v>238264.62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86880.5</v>
      </c>
      <c r="G460" s="83">
        <f>SUM(G454:G459)</f>
        <v>151384.12</v>
      </c>
      <c r="H460" s="83">
        <f>SUM(H454:H459)</f>
        <v>0</v>
      </c>
      <c r="I460" s="83">
        <f>SUM(I454:I459)</f>
        <v>238264.62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86880.5</v>
      </c>
      <c r="G461" s="42">
        <f>G452+G460</f>
        <v>151384.12</v>
      </c>
      <c r="H461" s="42">
        <f>H452+H460</f>
        <v>0</v>
      </c>
      <c r="I461" s="42">
        <f>I452+I460</f>
        <v>238264.62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472784</v>
      </c>
      <c r="G465" s="18">
        <v>-1489.95</v>
      </c>
      <c r="H465" s="18"/>
      <c r="I465" s="18"/>
      <c r="J465" s="18">
        <v>223512.25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F193</f>
        <v>11663558.810000001</v>
      </c>
      <c r="G468" s="18">
        <f>G193</f>
        <v>144364.26</v>
      </c>
      <c r="H468" s="18"/>
      <c r="I468" s="18"/>
      <c r="J468" s="18">
        <f>L408</f>
        <v>71752.37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11663558.810000001</v>
      </c>
      <c r="G470" s="53">
        <f>SUM(G468:G469)</f>
        <v>144364.26</v>
      </c>
      <c r="H470" s="53">
        <f>SUM(H468:H469)</f>
        <v>0</v>
      </c>
      <c r="I470" s="53">
        <f>SUM(I468:I469)</f>
        <v>0</v>
      </c>
      <c r="J470" s="53">
        <f>SUM(J468:J469)</f>
        <v>71752.37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L271</f>
        <v>11684386.540000001</v>
      </c>
      <c r="G472" s="18">
        <f>L362</f>
        <v>144306.26</v>
      </c>
      <c r="H472" s="18"/>
      <c r="I472" s="18"/>
      <c r="J472" s="18">
        <f>L434</f>
        <v>57000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11684386.540000001</v>
      </c>
      <c r="G474" s="53">
        <f>SUM(G472:G473)</f>
        <v>144306.26</v>
      </c>
      <c r="H474" s="53">
        <f>SUM(H472:H473)</f>
        <v>0</v>
      </c>
      <c r="I474" s="53">
        <f>SUM(I472:I473)</f>
        <v>0</v>
      </c>
      <c r="J474" s="53">
        <f>SUM(J472:J473)</f>
        <v>57000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451956.26999999955</v>
      </c>
      <c r="G476" s="53">
        <f>(G465+G470)- G474</f>
        <v>-1431.9500000000116</v>
      </c>
      <c r="H476" s="53">
        <f>(H465+H470)- H474</f>
        <v>0</v>
      </c>
      <c r="I476" s="53">
        <f>(I465+I470)- I474</f>
        <v>0</v>
      </c>
      <c r="J476" s="53">
        <f>(J465+J470)- J474</f>
        <v>238264.62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823962.43</v>
      </c>
      <c r="G521" s="18">
        <v>280534.69</v>
      </c>
      <c r="H521" s="18">
        <v>379954.6</v>
      </c>
      <c r="I521" s="18">
        <v>5981.45</v>
      </c>
      <c r="J521" s="18">
        <v>942.7</v>
      </c>
      <c r="K521" s="18">
        <v>5468.65</v>
      </c>
      <c r="L521" s="88">
        <f>SUM(F521:K521)</f>
        <v>1496844.52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230</v>
      </c>
      <c r="G523" s="18"/>
      <c r="H523" s="18">
        <v>354039.19</v>
      </c>
      <c r="I523" s="18">
        <v>346.07</v>
      </c>
      <c r="J523" s="18"/>
      <c r="K523" s="18"/>
      <c r="L523" s="88">
        <f>SUM(F523:K523)</f>
        <v>354615.26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824192.43</v>
      </c>
      <c r="G524" s="108">
        <f t="shared" ref="G524:L524" si="36">SUM(G521:G523)</f>
        <v>280534.69</v>
      </c>
      <c r="H524" s="108">
        <f t="shared" si="36"/>
        <v>733993.79</v>
      </c>
      <c r="I524" s="108">
        <f t="shared" si="36"/>
        <v>6327.5199999999995</v>
      </c>
      <c r="J524" s="108">
        <f t="shared" si="36"/>
        <v>942.7</v>
      </c>
      <c r="K524" s="108">
        <f t="shared" si="36"/>
        <v>5468.65</v>
      </c>
      <c r="L524" s="89">
        <f t="shared" si="36"/>
        <v>1851459.78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108349.18</v>
      </c>
      <c r="G526" s="18">
        <v>55882.45</v>
      </c>
      <c r="H526" s="18">
        <v>107680.25</v>
      </c>
      <c r="I526" s="18">
        <v>380.29</v>
      </c>
      <c r="J526" s="18"/>
      <c r="K526" s="18"/>
      <c r="L526" s="88">
        <f>SUM(F526:K526)</f>
        <v>272292.17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>
        <v>1113.92</v>
      </c>
      <c r="I528" s="18"/>
      <c r="J528" s="18"/>
      <c r="K528" s="18"/>
      <c r="L528" s="88">
        <f>SUM(F528:K528)</f>
        <v>1113.92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108349.18</v>
      </c>
      <c r="G529" s="89">
        <f t="shared" ref="G529:L529" si="37">SUM(G526:G528)</f>
        <v>55882.45</v>
      </c>
      <c r="H529" s="89">
        <f t="shared" si="37"/>
        <v>108794.17</v>
      </c>
      <c r="I529" s="89">
        <f t="shared" si="37"/>
        <v>380.29</v>
      </c>
      <c r="J529" s="89">
        <f t="shared" si="37"/>
        <v>0</v>
      </c>
      <c r="K529" s="89">
        <f t="shared" si="37"/>
        <v>0</v>
      </c>
      <c r="L529" s="89">
        <f t="shared" si="37"/>
        <v>273406.08999999997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v>55076.43</v>
      </c>
      <c r="I531" s="18"/>
      <c r="J531" s="18"/>
      <c r="K531" s="18"/>
      <c r="L531" s="88">
        <f>SUM(F531:K531)</f>
        <v>55076.43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>
        <v>24744.49</v>
      </c>
      <c r="I533" s="18"/>
      <c r="J533" s="18"/>
      <c r="K533" s="18"/>
      <c r="L533" s="88">
        <f>SUM(F533:K533)</f>
        <v>24744.49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79820.92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79820.92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90043.55</v>
      </c>
      <c r="I541" s="18"/>
      <c r="J541" s="18"/>
      <c r="K541" s="18"/>
      <c r="L541" s="88">
        <f>SUM(F541:K541)</f>
        <v>90043.55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16900.05</v>
      </c>
      <c r="I543" s="18"/>
      <c r="J543" s="18"/>
      <c r="K543" s="18"/>
      <c r="L543" s="88">
        <f>SUM(F543:K543)</f>
        <v>16900.05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106943.6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106943.6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932541.6100000001</v>
      </c>
      <c r="G545" s="89">
        <f t="shared" ref="G545:L545" si="41">G524+G529+G534+G539+G544</f>
        <v>336417.14</v>
      </c>
      <c r="H545" s="89">
        <f t="shared" si="41"/>
        <v>1029552.4800000001</v>
      </c>
      <c r="I545" s="89">
        <f t="shared" si="41"/>
        <v>6707.8099999999995</v>
      </c>
      <c r="J545" s="89">
        <f t="shared" si="41"/>
        <v>942.7</v>
      </c>
      <c r="K545" s="89">
        <f t="shared" si="41"/>
        <v>5468.65</v>
      </c>
      <c r="L545" s="89">
        <f t="shared" si="41"/>
        <v>2311630.39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1496844.52</v>
      </c>
      <c r="G549" s="87">
        <f>L526</f>
        <v>272292.17</v>
      </c>
      <c r="H549" s="87">
        <f>L531</f>
        <v>55076.43</v>
      </c>
      <c r="I549" s="87">
        <f>L536</f>
        <v>0</v>
      </c>
      <c r="J549" s="87">
        <f>L541</f>
        <v>90043.55</v>
      </c>
      <c r="K549" s="87">
        <f>SUM(F549:J549)</f>
        <v>1914256.67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354615.26</v>
      </c>
      <c r="G551" s="87">
        <f>L528</f>
        <v>1113.92</v>
      </c>
      <c r="H551" s="87">
        <f>L533</f>
        <v>24744.49</v>
      </c>
      <c r="I551" s="87">
        <f>L538</f>
        <v>0</v>
      </c>
      <c r="J551" s="87">
        <f>L543</f>
        <v>16900.05</v>
      </c>
      <c r="K551" s="87">
        <f>SUM(F551:J551)</f>
        <v>397373.72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1851459.78</v>
      </c>
      <c r="G552" s="89">
        <f t="shared" si="42"/>
        <v>273406.08999999997</v>
      </c>
      <c r="H552" s="89">
        <f t="shared" si="42"/>
        <v>79820.92</v>
      </c>
      <c r="I552" s="89">
        <f t="shared" si="42"/>
        <v>0</v>
      </c>
      <c r="J552" s="89">
        <f t="shared" si="42"/>
        <v>106943.6</v>
      </c>
      <c r="K552" s="89">
        <f t="shared" si="42"/>
        <v>2311630.3899999997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910747.83</v>
      </c>
      <c r="I575" s="87">
        <f>SUM(F575:H575)</f>
        <v>910747.83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>
        <v>2282141.2599999998</v>
      </c>
      <c r="I577" s="87">
        <f t="shared" si="47"/>
        <v>2282141.2599999998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>
        <f>145822.7+57989.97</f>
        <v>203812.67</v>
      </c>
      <c r="I579" s="87">
        <f t="shared" si="47"/>
        <v>203812.67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>
        <v>97614.16</v>
      </c>
      <c r="I581" s="87">
        <f t="shared" si="47"/>
        <v>97614.16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f>154596.49+225358.11</f>
        <v>379954.6</v>
      </c>
      <c r="G582" s="18"/>
      <c r="H582" s="18">
        <v>46813.16</v>
      </c>
      <c r="I582" s="87">
        <f t="shared" si="47"/>
        <v>426767.76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387135.25</v>
      </c>
      <c r="I591" s="18"/>
      <c r="J591" s="18">
        <f>94906+95479.5</f>
        <v>190385.5</v>
      </c>
      <c r="K591" s="104">
        <f t="shared" ref="K591:K597" si="48">SUM(H591:J591)</f>
        <v>577520.75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90043.55</v>
      </c>
      <c r="I592" s="18"/>
      <c r="J592" s="18">
        <v>16900.05</v>
      </c>
      <c r="K592" s="104">
        <f t="shared" si="48"/>
        <v>106943.6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4180.9399999999996</v>
      </c>
      <c r="I594" s="18"/>
      <c r="J594" s="18"/>
      <c r="K594" s="104">
        <f t="shared" si="48"/>
        <v>4180.9399999999996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7296.83</v>
      </c>
      <c r="I595" s="18"/>
      <c r="J595" s="18"/>
      <c r="K595" s="104">
        <f t="shared" si="48"/>
        <v>7296.83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488656.57</v>
      </c>
      <c r="I598" s="108">
        <f>SUM(I591:I597)</f>
        <v>0</v>
      </c>
      <c r="J598" s="108">
        <f>SUM(J591:J597)</f>
        <v>207285.55</v>
      </c>
      <c r="K598" s="108">
        <f>SUM(K591:K597)</f>
        <v>695942.11999999988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139440.61-547.54</f>
        <v>138893.06999999998</v>
      </c>
      <c r="I604" s="18"/>
      <c r="J604" s="18">
        <v>547.54</v>
      </c>
      <c r="K604" s="104">
        <f>SUM(H604:J604)</f>
        <v>139440.60999999999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138893.06999999998</v>
      </c>
      <c r="I605" s="108">
        <f>SUM(I602:I604)</f>
        <v>0</v>
      </c>
      <c r="J605" s="108">
        <f>SUM(J602:J604)</f>
        <v>547.54</v>
      </c>
      <c r="K605" s="108">
        <f>SUM(K602:K604)</f>
        <v>139440.60999999999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f>3000+21144.88</f>
        <v>24144.880000000001</v>
      </c>
      <c r="G611" s="18">
        <v>643.64</v>
      </c>
      <c r="H611" s="18"/>
      <c r="I611" s="18">
        <v>239.25</v>
      </c>
      <c r="J611" s="18"/>
      <c r="K611" s="18"/>
      <c r="L611" s="88">
        <f>SUM(F611:K611)</f>
        <v>25027.77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230</v>
      </c>
      <c r="G613" s="18"/>
      <c r="H613" s="18"/>
      <c r="I613" s="18"/>
      <c r="J613" s="18"/>
      <c r="K613" s="18"/>
      <c r="L613" s="88">
        <f>SUM(F613:K613)</f>
        <v>230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24374.880000000001</v>
      </c>
      <c r="G614" s="108">
        <f t="shared" si="49"/>
        <v>643.64</v>
      </c>
      <c r="H614" s="108">
        <f t="shared" si="49"/>
        <v>0</v>
      </c>
      <c r="I614" s="108">
        <f t="shared" si="49"/>
        <v>239.25</v>
      </c>
      <c r="J614" s="108">
        <f t="shared" si="49"/>
        <v>0</v>
      </c>
      <c r="K614" s="108">
        <f t="shared" si="49"/>
        <v>0</v>
      </c>
      <c r="L614" s="89">
        <f t="shared" si="49"/>
        <v>25257.77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816368.94</v>
      </c>
      <c r="H617" s="109">
        <f>SUM(F52)</f>
        <v>816368.94000000006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11209.43</v>
      </c>
      <c r="H618" s="109">
        <f>SUM(G52)</f>
        <v>11209.43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0</v>
      </c>
      <c r="H619" s="109">
        <f>SUM(H52)</f>
        <v>0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238264.62</v>
      </c>
      <c r="H621" s="109">
        <f>SUM(J52)</f>
        <v>238264.62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451956.27</v>
      </c>
      <c r="H622" s="109">
        <f>F476</f>
        <v>451956.26999999955</v>
      </c>
      <c r="I622" s="121" t="s">
        <v>101</v>
      </c>
      <c r="J622" s="109">
        <f t="shared" ref="J622:J655" si="50">G622-H622</f>
        <v>4.6566128730773926E-10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-1431.9499999999998</v>
      </c>
      <c r="H623" s="109">
        <f>G476</f>
        <v>-1431.9500000000116</v>
      </c>
      <c r="I623" s="121" t="s">
        <v>102</v>
      </c>
      <c r="J623" s="109">
        <f t="shared" si="50"/>
        <v>1.1823431123048067E-11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238264.62</v>
      </c>
      <c r="H626" s="109">
        <f>J476</f>
        <v>238264.62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11663558.810000001</v>
      </c>
      <c r="H627" s="104">
        <f>SUM(F468)</f>
        <v>11663558.810000001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144364.26</v>
      </c>
      <c r="H628" s="104">
        <f>SUM(G468)</f>
        <v>144364.26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71752.37</v>
      </c>
      <c r="H631" s="104">
        <f>SUM(J468)</f>
        <v>71752.37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11684386.540000001</v>
      </c>
      <c r="H632" s="104">
        <f>SUM(F472)</f>
        <v>11684386.540000001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50303.6</v>
      </c>
      <c r="H634" s="104">
        <f>I369</f>
        <v>50303.6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144306.26</v>
      </c>
      <c r="H635" s="104">
        <f>SUM(G472)</f>
        <v>144306.26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71752.37</v>
      </c>
      <c r="H637" s="164">
        <f>SUM(J468)</f>
        <v>71752.37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57000</v>
      </c>
      <c r="H638" s="164">
        <f>SUM(J472)</f>
        <v>57000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86880.5</v>
      </c>
      <c r="H639" s="104">
        <f>SUM(F461)</f>
        <v>86880.5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151384.12</v>
      </c>
      <c r="H640" s="104">
        <f>SUM(G461)</f>
        <v>151384.12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238264.62</v>
      </c>
      <c r="H642" s="104">
        <f>SUM(I461)</f>
        <v>238264.62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1752.37</v>
      </c>
      <c r="H644" s="104">
        <f>H408</f>
        <v>1752.37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70000</v>
      </c>
      <c r="H645" s="104">
        <f>G408</f>
        <v>70000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71752.37</v>
      </c>
      <c r="H646" s="104">
        <f>L408</f>
        <v>71752.37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695942.11999999988</v>
      </c>
      <c r="H647" s="104">
        <f>L208+L226+L244</f>
        <v>695942.12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139440.60999999999</v>
      </c>
      <c r="H648" s="104">
        <f>(J257+J338)-(J255+J336)</f>
        <v>139440.60999999999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488656.57</v>
      </c>
      <c r="H649" s="104">
        <f>H598</f>
        <v>488656.57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207285.55</v>
      </c>
      <c r="H651" s="104">
        <f>J598</f>
        <v>207285.55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23897.57</v>
      </c>
      <c r="H652" s="104">
        <f>K263+K345</f>
        <v>23897.57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70000</v>
      </c>
      <c r="H655" s="104">
        <f>K266+K347</f>
        <v>70000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7761355.1500000004</v>
      </c>
      <c r="G660" s="19">
        <f>(L229+L309+L359)</f>
        <v>0</v>
      </c>
      <c r="H660" s="19">
        <f>(L247+L328+L360)</f>
        <v>3973440.0799999996</v>
      </c>
      <c r="I660" s="19">
        <f>SUM(F660:H660)</f>
        <v>11734795.23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82172.77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82172.77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488656.57</v>
      </c>
      <c r="G662" s="19">
        <f>(L226+L306)-(J226+J306)</f>
        <v>0</v>
      </c>
      <c r="H662" s="19">
        <f>(L244+L325)-(J244+J325)</f>
        <v>207285.55</v>
      </c>
      <c r="I662" s="19">
        <f>SUM(F662:H662)</f>
        <v>695942.12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543875.43999999994</v>
      </c>
      <c r="G663" s="199">
        <f>SUM(G575:G587)+SUM(I602:I604)+L612</f>
        <v>0</v>
      </c>
      <c r="H663" s="199">
        <f>SUM(H575:H587)+SUM(J602:J604)+L613</f>
        <v>3541906.62</v>
      </c>
      <c r="I663" s="19">
        <f>SUM(F663:H663)</f>
        <v>4085782.06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6646650.370000001</v>
      </c>
      <c r="G664" s="19">
        <f>G660-SUM(G661:G663)</f>
        <v>0</v>
      </c>
      <c r="H664" s="19">
        <f>H660-SUM(H661:H663)</f>
        <v>224247.90999999968</v>
      </c>
      <c r="I664" s="19">
        <f>I660-SUM(I661:I663)</f>
        <v>6870898.2800000003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490.13</v>
      </c>
      <c r="G665" s="248"/>
      <c r="H665" s="248"/>
      <c r="I665" s="19">
        <f>SUM(F665:H665)</f>
        <v>490.13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13560.99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14018.52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-224247.91</v>
      </c>
      <c r="I669" s="19">
        <f>SUM(F669:H669)</f>
        <v>-224247.91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13560.99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13560.99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37" sqref="B37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Nottingham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2172453.81</v>
      </c>
      <c r="C9" s="229">
        <f>'DOE25'!G197+'DOE25'!G215+'DOE25'!G233+'DOE25'!G276+'DOE25'!G295+'DOE25'!G314</f>
        <v>1055928.05</v>
      </c>
    </row>
    <row r="10" spans="1:3" x14ac:dyDescent="0.2">
      <c r="A10" t="s">
        <v>773</v>
      </c>
      <c r="B10" s="240">
        <v>2076594</v>
      </c>
      <c r="C10" s="240">
        <v>1034864.11</v>
      </c>
    </row>
    <row r="11" spans="1:3" x14ac:dyDescent="0.2">
      <c r="A11" t="s">
        <v>774</v>
      </c>
      <c r="B11" s="240">
        <v>16868.71</v>
      </c>
      <c r="C11" s="240">
        <v>1729.66</v>
      </c>
    </row>
    <row r="12" spans="1:3" x14ac:dyDescent="0.2">
      <c r="A12" t="s">
        <v>775</v>
      </c>
      <c r="B12" s="240">
        <v>78991.100000000006</v>
      </c>
      <c r="C12" s="240">
        <v>19334.28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2172453.81</v>
      </c>
      <c r="C13" s="231">
        <f>SUM(C10:C12)</f>
        <v>1055928.05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824192.43</v>
      </c>
      <c r="C18" s="229">
        <f>'DOE25'!G198+'DOE25'!G216+'DOE25'!G234+'DOE25'!G277+'DOE25'!G296+'DOE25'!G315</f>
        <v>280534.69</v>
      </c>
    </row>
    <row r="19" spans="1:3" x14ac:dyDescent="0.2">
      <c r="A19" t="s">
        <v>773</v>
      </c>
      <c r="B19" s="240">
        <v>284106</v>
      </c>
      <c r="C19" s="240">
        <v>121042.15</v>
      </c>
    </row>
    <row r="20" spans="1:3" x14ac:dyDescent="0.2">
      <c r="A20" t="s">
        <v>774</v>
      </c>
      <c r="B20" s="240">
        <v>426376.8</v>
      </c>
      <c r="C20" s="240">
        <v>146834.29999999999</v>
      </c>
    </row>
    <row r="21" spans="1:3" x14ac:dyDescent="0.2">
      <c r="A21" t="s">
        <v>775</v>
      </c>
      <c r="B21" s="240">
        <v>113709.63</v>
      </c>
      <c r="C21" s="240">
        <v>12658.24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824192.43</v>
      </c>
      <c r="C22" s="231">
        <f>SUM(C19:C21)</f>
        <v>280534.68999999994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32600</v>
      </c>
      <c r="C36" s="235">
        <f>'DOE25'!G200+'DOE25'!G218+'DOE25'!G236+'DOE25'!G279+'DOE25'!G298+'DOE25'!G317</f>
        <v>5446.07</v>
      </c>
    </row>
    <row r="37" spans="1:3" x14ac:dyDescent="0.2">
      <c r="A37" t="s">
        <v>773</v>
      </c>
      <c r="B37" s="240">
        <v>14600</v>
      </c>
      <c r="C37" s="240">
        <v>4066.76</v>
      </c>
    </row>
    <row r="38" spans="1:3" x14ac:dyDescent="0.2">
      <c r="A38" t="s">
        <v>774</v>
      </c>
      <c r="B38" s="240">
        <v>3000</v>
      </c>
      <c r="C38" s="240">
        <v>452.23</v>
      </c>
    </row>
    <row r="39" spans="1:3" x14ac:dyDescent="0.2">
      <c r="A39" t="s">
        <v>775</v>
      </c>
      <c r="B39" s="240">
        <v>15000</v>
      </c>
      <c r="C39" s="240">
        <v>927.08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32600</v>
      </c>
      <c r="C40" s="231">
        <f>SUM(C37:C39)</f>
        <v>5446.07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Nottingham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8409603.3500000015</v>
      </c>
      <c r="D5" s="20">
        <f>SUM('DOE25'!L197:L200)+SUM('DOE25'!L215:L218)+SUM('DOE25'!L233:L236)-F5-G5</f>
        <v>8396152.0700000003</v>
      </c>
      <c r="E5" s="243"/>
      <c r="F5" s="255">
        <f>SUM('DOE25'!J197:J200)+SUM('DOE25'!J215:J218)+SUM('DOE25'!J233:J236)</f>
        <v>6753.63</v>
      </c>
      <c r="G5" s="53">
        <f>SUM('DOE25'!K197:K200)+SUM('DOE25'!K215:K218)+SUM('DOE25'!K233:K236)</f>
        <v>6697.65</v>
      </c>
      <c r="H5" s="259"/>
    </row>
    <row r="6" spans="1:9" x14ac:dyDescent="0.2">
      <c r="A6" s="32">
        <v>2100</v>
      </c>
      <c r="B6" t="s">
        <v>795</v>
      </c>
      <c r="C6" s="245">
        <f t="shared" si="0"/>
        <v>570225.74</v>
      </c>
      <c r="D6" s="20">
        <f>'DOE25'!L202+'DOE25'!L220+'DOE25'!L238-F6-G6</f>
        <v>570225.74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554812.16000000003</v>
      </c>
      <c r="D7" s="20">
        <f>'DOE25'!L203+'DOE25'!L221+'DOE25'!L239-F7-G7</f>
        <v>437430.87000000005</v>
      </c>
      <c r="E7" s="243"/>
      <c r="F7" s="255">
        <f>'DOE25'!J203+'DOE25'!J221+'DOE25'!J239</f>
        <v>116962.29</v>
      </c>
      <c r="G7" s="53">
        <f>'DOE25'!K203+'DOE25'!K221+'DOE25'!K239</f>
        <v>419</v>
      </c>
      <c r="H7" s="259"/>
    </row>
    <row r="8" spans="1:9" x14ac:dyDescent="0.2">
      <c r="A8" s="32">
        <v>2300</v>
      </c>
      <c r="B8" t="s">
        <v>796</v>
      </c>
      <c r="C8" s="245">
        <f t="shared" si="0"/>
        <v>357559.93</v>
      </c>
      <c r="D8" s="243"/>
      <c r="E8" s="20">
        <f>'DOE25'!L204+'DOE25'!L222+'DOE25'!L240-F8-G8-D9-D11</f>
        <v>353993.11</v>
      </c>
      <c r="F8" s="255">
        <f>'DOE25'!J204+'DOE25'!J222+'DOE25'!J240</f>
        <v>0</v>
      </c>
      <c r="G8" s="53">
        <f>'DOE25'!K204+'DOE25'!K222+'DOE25'!K240</f>
        <v>3566.82</v>
      </c>
      <c r="H8" s="259"/>
    </row>
    <row r="9" spans="1:9" x14ac:dyDescent="0.2">
      <c r="A9" s="32">
        <v>2310</v>
      </c>
      <c r="B9" t="s">
        <v>812</v>
      </c>
      <c r="C9" s="245">
        <f t="shared" si="0"/>
        <v>47737.62</v>
      </c>
      <c r="D9" s="244">
        <v>47737.62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7500</v>
      </c>
      <c r="D10" s="243"/>
      <c r="E10" s="244">
        <v>7500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95907.31</v>
      </c>
      <c r="D11" s="244">
        <v>95907.31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364374.71</v>
      </c>
      <c r="D12" s="20">
        <f>'DOE25'!L205+'DOE25'!L223+'DOE25'!L241-F12-G12</f>
        <v>362880.71</v>
      </c>
      <c r="E12" s="243"/>
      <c r="F12" s="255">
        <f>'DOE25'!J205+'DOE25'!J223+'DOE25'!J241</f>
        <v>0</v>
      </c>
      <c r="G12" s="53">
        <f>'DOE25'!K205+'DOE25'!K223+'DOE25'!K241</f>
        <v>1494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494326.02999999997</v>
      </c>
      <c r="D14" s="20">
        <f>'DOE25'!L207+'DOE25'!L225+'DOE25'!L243-F14-G14</f>
        <v>478601.33999999997</v>
      </c>
      <c r="E14" s="243"/>
      <c r="F14" s="255">
        <f>'DOE25'!J207+'DOE25'!J225+'DOE25'!J243</f>
        <v>15724.69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695942.12</v>
      </c>
      <c r="D15" s="20">
        <f>'DOE25'!L208+'DOE25'!L226+'DOE25'!L244-F15-G15</f>
        <v>695942.12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94301.66</v>
      </c>
      <c r="D29" s="20">
        <f>'DOE25'!L358+'DOE25'!L359+'DOE25'!L360-'DOE25'!I367-F29-G29</f>
        <v>94301.66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11179179.439999999</v>
      </c>
      <c r="E33" s="246">
        <f>SUM(E5:E31)</f>
        <v>361493.11</v>
      </c>
      <c r="F33" s="246">
        <f>SUM(F5:F31)</f>
        <v>139440.60999999999</v>
      </c>
      <c r="G33" s="246">
        <f>SUM(G5:G31)</f>
        <v>12177.47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361493.11</v>
      </c>
      <c r="E35" s="249"/>
    </row>
    <row r="36" spans="2:8" ht="12" thickTop="1" x14ac:dyDescent="0.2">
      <c r="B36" t="s">
        <v>809</v>
      </c>
      <c r="D36" s="20">
        <f>D33</f>
        <v>11179179.439999999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27" sqref="C2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Nottingham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721095.12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238264.62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11948.6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83325.22</v>
      </c>
      <c r="D13" s="95">
        <f>'DOE25'!G14</f>
        <v>8008.34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3201.09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816368.94</v>
      </c>
      <c r="D18" s="41">
        <f>SUM(D8:D17)</f>
        <v>11209.43</v>
      </c>
      <c r="E18" s="41">
        <f>SUM(E8:E17)</f>
        <v>0</v>
      </c>
      <c r="F18" s="41">
        <f>SUM(F8:F17)</f>
        <v>0</v>
      </c>
      <c r="G18" s="41">
        <f>SUM(G8:G17)</f>
        <v>238264.62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11948.6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298281.82</v>
      </c>
      <c r="D23" s="95">
        <f>'DOE25'!G24</f>
        <v>586.91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66130.850000000006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105.87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364412.67000000004</v>
      </c>
      <c r="D31" s="41">
        <f>SUM(D21:D30)</f>
        <v>12641.380000000001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3201.09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-4633.04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85000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60000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238264.62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306956.27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451956.27</v>
      </c>
      <c r="D50" s="41">
        <f>SUM(D34:D49)</f>
        <v>-1431.9499999999998</v>
      </c>
      <c r="E50" s="41">
        <f>SUM(E34:E49)</f>
        <v>0</v>
      </c>
      <c r="F50" s="41">
        <f>SUM(F34:F49)</f>
        <v>0</v>
      </c>
      <c r="G50" s="41">
        <f>SUM(G34:G49)</f>
        <v>238264.62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816368.94000000006</v>
      </c>
      <c r="D51" s="41">
        <f>D50+D31</f>
        <v>11209.43</v>
      </c>
      <c r="E51" s="41">
        <f>E50+E31</f>
        <v>0</v>
      </c>
      <c r="F51" s="41">
        <f>F50+F31</f>
        <v>0</v>
      </c>
      <c r="G51" s="41">
        <f>G50+G31</f>
        <v>238264.62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8613107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7575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2259.34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1752.37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82172.77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41685.839999999997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51520.179999999993</v>
      </c>
      <c r="D62" s="130">
        <f>SUM(D57:D61)</f>
        <v>82172.77</v>
      </c>
      <c r="E62" s="130">
        <f>SUM(E57:E61)</f>
        <v>0</v>
      </c>
      <c r="F62" s="130">
        <f>SUM(F57:F61)</f>
        <v>0</v>
      </c>
      <c r="G62" s="130">
        <f>SUM(G57:G61)</f>
        <v>1752.37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8664627.1799999997</v>
      </c>
      <c r="D63" s="22">
        <f>D56+D62</f>
        <v>82172.77</v>
      </c>
      <c r="E63" s="22">
        <f>E56+E62</f>
        <v>0</v>
      </c>
      <c r="F63" s="22">
        <f>F56+F62</f>
        <v>0</v>
      </c>
      <c r="G63" s="22">
        <f>G56+G62</f>
        <v>1752.37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1553173.99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1302005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5574.16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2860753.1500000004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21878.05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45675.78</v>
      </c>
      <c r="D77" s="95">
        <f>SUM('DOE25'!G131:G135)</f>
        <v>2453.1799999999998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67553.83</v>
      </c>
      <c r="D78" s="130">
        <f>SUM(D72:D77)</f>
        <v>2453.1799999999998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2928306.9800000004</v>
      </c>
      <c r="D81" s="130">
        <f>SUM(D79:D80)+D78+D70</f>
        <v>2453.1799999999998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70624.649999999994</v>
      </c>
      <c r="D88" s="95">
        <f>SUM('DOE25'!G153:G161)</f>
        <v>35840.74</v>
      </c>
      <c r="E88" s="95">
        <f>SUM('DOE25'!H153:H161)</f>
        <v>0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70624.649999999994</v>
      </c>
      <c r="D91" s="131">
        <f>SUM(D85:D90)</f>
        <v>35840.74</v>
      </c>
      <c r="E91" s="131">
        <f>SUM(E85:E90)</f>
        <v>0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23897.57</v>
      </c>
      <c r="E96" s="95">
        <f>'DOE25'!H179</f>
        <v>0</v>
      </c>
      <c r="F96" s="95">
        <f>'DOE25'!I179</f>
        <v>0</v>
      </c>
      <c r="G96" s="95">
        <f>'DOE25'!J179</f>
        <v>70000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23897.57</v>
      </c>
      <c r="E103" s="86">
        <f>SUM(E93:E102)</f>
        <v>0</v>
      </c>
      <c r="F103" s="86">
        <f>SUM(F93:F102)</f>
        <v>0</v>
      </c>
      <c r="G103" s="86">
        <f>SUM(G93:G102)</f>
        <v>70000</v>
      </c>
    </row>
    <row r="104" spans="1:7" ht="12.75" thickTop="1" thickBot="1" x14ac:dyDescent="0.25">
      <c r="A104" s="33" t="s">
        <v>759</v>
      </c>
      <c r="C104" s="86">
        <f>C63+C81+C91+C103</f>
        <v>11663558.810000001</v>
      </c>
      <c r="D104" s="86">
        <f>D63+D81+D91+D103</f>
        <v>144364.26</v>
      </c>
      <c r="E104" s="86">
        <f>E63+E81+E91+E103</f>
        <v>0</v>
      </c>
      <c r="F104" s="86">
        <f>F63+F81+F91+F103</f>
        <v>0</v>
      </c>
      <c r="G104" s="86">
        <f>G63+G81+G103</f>
        <v>71752.37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6511238.8200000003</v>
      </c>
      <c r="D109" s="24" t="s">
        <v>286</v>
      </c>
      <c r="E109" s="95">
        <f>('DOE25'!L276)+('DOE25'!L295)+('DOE25'!L314)</f>
        <v>0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1851459.78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46904.75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8409603.3500000015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570225.74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554812.16000000003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501204.86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364374.71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494326.02999999997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695942.12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144306.26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3180885.6199999996</v>
      </c>
      <c r="D128" s="86">
        <f>SUM(D118:D127)</f>
        <v>144306.26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23897.57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25515.5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46236.869999999995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-1752.3699999999953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93897.57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11684386.540000001</v>
      </c>
      <c r="D145" s="86">
        <f>(D115+D128+D144)</f>
        <v>144306.26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Nottingham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13561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13561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6511239</v>
      </c>
      <c r="D10" s="182">
        <f>ROUND((C10/$C$28)*100,1)</f>
        <v>55.9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1851460</v>
      </c>
      <c r="D11" s="182">
        <f>ROUND((C11/$C$28)*100,1)</f>
        <v>15.9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46905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570226</v>
      </c>
      <c r="D15" s="182">
        <f t="shared" ref="D15:D27" si="0">ROUND((C15/$C$28)*100,1)</f>
        <v>4.9000000000000004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554812</v>
      </c>
      <c r="D16" s="182">
        <f t="shared" si="0"/>
        <v>4.8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501205</v>
      </c>
      <c r="D17" s="182">
        <f t="shared" si="0"/>
        <v>4.3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364375</v>
      </c>
      <c r="D18" s="182">
        <f t="shared" si="0"/>
        <v>3.1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494326</v>
      </c>
      <c r="D20" s="182">
        <f t="shared" si="0"/>
        <v>4.2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695942</v>
      </c>
      <c r="D21" s="182">
        <f t="shared" si="0"/>
        <v>6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62133.229999999996</v>
      </c>
      <c r="D27" s="182">
        <f t="shared" si="0"/>
        <v>0.5</v>
      </c>
    </row>
    <row r="28" spans="1:4" x14ac:dyDescent="0.2">
      <c r="B28" s="187" t="s">
        <v>717</v>
      </c>
      <c r="C28" s="180">
        <f>SUM(C10:C27)</f>
        <v>11652623.23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11652623.23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8613107</v>
      </c>
      <c r="D35" s="182">
        <f t="shared" ref="D35:D40" si="1">ROUND((C35/$C$41)*100,1)</f>
        <v>73.599999999999994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53272.549999998882</v>
      </c>
      <c r="D36" s="182">
        <f t="shared" si="1"/>
        <v>0.5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2855179</v>
      </c>
      <c r="D37" s="182">
        <f t="shared" si="1"/>
        <v>24.4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75581</v>
      </c>
      <c r="D38" s="182">
        <f t="shared" si="1"/>
        <v>0.6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106465</v>
      </c>
      <c r="D39" s="182">
        <f t="shared" si="1"/>
        <v>0.9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11703604.549999999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Nottingham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2018-10-11T12:58:35Z</cp:lastPrinted>
  <dcterms:created xsi:type="dcterms:W3CDTF">1997-12-04T19:04:30Z</dcterms:created>
  <dcterms:modified xsi:type="dcterms:W3CDTF">2018-11-30T15:46:18Z</dcterms:modified>
</cp:coreProperties>
</file>