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4" i="1" l="1"/>
  <c r="F50" i="1"/>
  <c r="F46" i="1"/>
  <c r="I243" i="1"/>
  <c r="I400" i="1" l="1"/>
  <c r="H48" i="1" l="1"/>
  <c r="F12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29" i="1" s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H25" i="13" s="1"/>
  <c r="C25" i="13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F85" i="2" s="1"/>
  <c r="I162" i="1"/>
  <c r="L250" i="1"/>
  <c r="L332" i="1"/>
  <c r="L254" i="1"/>
  <c r="C25" i="10"/>
  <c r="L268" i="1"/>
  <c r="L269" i="1"/>
  <c r="L349" i="1"/>
  <c r="L350" i="1"/>
  <c r="E143" i="2" s="1"/>
  <c r="I665" i="1"/>
  <c r="I670" i="1"/>
  <c r="G662" i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E62" i="2" s="1"/>
  <c r="E63" i="2" s="1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D115" i="2"/>
  <c r="F115" i="2"/>
  <c r="G115" i="2"/>
  <c r="C119" i="2"/>
  <c r="E119" i="2"/>
  <c r="E120" i="2"/>
  <c r="E121" i="2"/>
  <c r="C122" i="2"/>
  <c r="E123" i="2"/>
  <c r="E124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L256" i="1" s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H643" i="1" s="1"/>
  <c r="G408" i="1"/>
  <c r="H645" i="1" s="1"/>
  <c r="H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F461" i="1"/>
  <c r="H639" i="1" s="1"/>
  <c r="F470" i="1"/>
  <c r="G470" i="1"/>
  <c r="H470" i="1"/>
  <c r="I470" i="1"/>
  <c r="I476" i="1" s="1"/>
  <c r="H625" i="1" s="1"/>
  <c r="J625" i="1" s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G643" i="1"/>
  <c r="G644" i="1"/>
  <c r="J644" i="1" s="1"/>
  <c r="H644" i="1"/>
  <c r="G645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L328" i="1"/>
  <c r="D18" i="2"/>
  <c r="D17" i="13"/>
  <c r="C17" i="13" s="1"/>
  <c r="C91" i="2"/>
  <c r="F78" i="2"/>
  <c r="F81" i="2" s="1"/>
  <c r="G161" i="2"/>
  <c r="D19" i="13"/>
  <c r="C19" i="13" s="1"/>
  <c r="D14" i="13"/>
  <c r="C14" i="13" s="1"/>
  <c r="E13" i="13"/>
  <c r="C13" i="13" s="1"/>
  <c r="E78" i="2"/>
  <c r="I169" i="1"/>
  <c r="F169" i="1"/>
  <c r="J140" i="1"/>
  <c r="I552" i="1"/>
  <c r="K598" i="1"/>
  <c r="G647" i="1" s="1"/>
  <c r="H140" i="1"/>
  <c r="L393" i="1"/>
  <c r="C138" i="2" s="1"/>
  <c r="A13" i="12"/>
  <c r="G192" i="1"/>
  <c r="C35" i="10"/>
  <c r="I545" i="1"/>
  <c r="G36" i="2"/>
  <c r="H476" i="1" l="1"/>
  <c r="H624" i="1" s="1"/>
  <c r="L427" i="1"/>
  <c r="L401" i="1"/>
  <c r="C139" i="2" s="1"/>
  <c r="F192" i="1"/>
  <c r="K550" i="1"/>
  <c r="L614" i="1"/>
  <c r="K605" i="1"/>
  <c r="G648" i="1" s="1"/>
  <c r="G62" i="2"/>
  <c r="J651" i="1"/>
  <c r="C21" i="10"/>
  <c r="F257" i="1"/>
  <c r="F271" i="1" s="1"/>
  <c r="K545" i="1"/>
  <c r="C15" i="10"/>
  <c r="C19" i="10"/>
  <c r="E8" i="13"/>
  <c r="C8" i="13" s="1"/>
  <c r="D15" i="13"/>
  <c r="C15" i="13" s="1"/>
  <c r="C26" i="10"/>
  <c r="H647" i="1"/>
  <c r="J647" i="1" s="1"/>
  <c r="H545" i="1"/>
  <c r="G461" i="1"/>
  <c r="H640" i="1" s="1"/>
  <c r="I52" i="1"/>
  <c r="H620" i="1" s="1"/>
  <c r="C132" i="2"/>
  <c r="L309" i="1"/>
  <c r="G660" i="1" s="1"/>
  <c r="G664" i="1" s="1"/>
  <c r="G667" i="1" s="1"/>
  <c r="G545" i="1"/>
  <c r="K551" i="1"/>
  <c r="G552" i="1"/>
  <c r="E81" i="2"/>
  <c r="D6" i="13"/>
  <c r="C6" i="13" s="1"/>
  <c r="J643" i="1"/>
  <c r="J571" i="1"/>
  <c r="F571" i="1"/>
  <c r="L382" i="1"/>
  <c r="G636" i="1" s="1"/>
  <c r="J636" i="1" s="1"/>
  <c r="C123" i="2"/>
  <c r="D81" i="2"/>
  <c r="H112" i="1"/>
  <c r="H193" i="1" s="1"/>
  <c r="G629" i="1" s="1"/>
  <c r="J629" i="1" s="1"/>
  <c r="F112" i="1"/>
  <c r="L351" i="1"/>
  <c r="J641" i="1"/>
  <c r="E31" i="2"/>
  <c r="C114" i="2"/>
  <c r="L544" i="1"/>
  <c r="K549" i="1"/>
  <c r="L529" i="1"/>
  <c r="F552" i="1"/>
  <c r="J545" i="1"/>
  <c r="L524" i="1"/>
  <c r="L534" i="1"/>
  <c r="K503" i="1"/>
  <c r="G156" i="2"/>
  <c r="J476" i="1"/>
  <c r="H626" i="1" s="1"/>
  <c r="F476" i="1"/>
  <c r="H622" i="1" s="1"/>
  <c r="D127" i="2"/>
  <c r="D128" i="2" s="1"/>
  <c r="H661" i="1"/>
  <c r="J634" i="1"/>
  <c r="F661" i="1"/>
  <c r="G661" i="1"/>
  <c r="J623" i="1"/>
  <c r="J639" i="1"/>
  <c r="J640" i="1"/>
  <c r="C32" i="10"/>
  <c r="H52" i="1"/>
  <c r="H619" i="1" s="1"/>
  <c r="J619" i="1" s="1"/>
  <c r="F22" i="13"/>
  <c r="C22" i="13" s="1"/>
  <c r="C29" i="10"/>
  <c r="E125" i="2"/>
  <c r="J338" i="1"/>
  <c r="J352" i="1" s="1"/>
  <c r="H338" i="1"/>
  <c r="H352" i="1" s="1"/>
  <c r="E109" i="2"/>
  <c r="G338" i="1"/>
  <c r="G352" i="1" s="1"/>
  <c r="E112" i="2"/>
  <c r="F338" i="1"/>
  <c r="F352" i="1" s="1"/>
  <c r="E128" i="2"/>
  <c r="C10" i="10"/>
  <c r="L290" i="1"/>
  <c r="F660" i="1" s="1"/>
  <c r="C18" i="10"/>
  <c r="D12" i="13"/>
  <c r="C12" i="13" s="1"/>
  <c r="C120" i="2"/>
  <c r="L247" i="1"/>
  <c r="L257" i="1" s="1"/>
  <c r="L271" i="1" s="1"/>
  <c r="G632" i="1" s="1"/>
  <c r="J632" i="1" s="1"/>
  <c r="I662" i="1"/>
  <c r="C20" i="10"/>
  <c r="K257" i="1"/>
  <c r="K271" i="1" s="1"/>
  <c r="G257" i="1"/>
  <c r="G271" i="1" s="1"/>
  <c r="C16" i="10"/>
  <c r="C111" i="2"/>
  <c r="D5" i="13"/>
  <c r="C5" i="13" s="1"/>
  <c r="I257" i="1"/>
  <c r="I271" i="1" s="1"/>
  <c r="C11" i="10"/>
  <c r="H257" i="1"/>
  <c r="H271" i="1" s="1"/>
  <c r="C13" i="10"/>
  <c r="C124" i="2"/>
  <c r="C118" i="2"/>
  <c r="C115" i="2"/>
  <c r="H33" i="13"/>
  <c r="D91" i="2"/>
  <c r="D31" i="2"/>
  <c r="J622" i="1"/>
  <c r="J617" i="1"/>
  <c r="C18" i="2"/>
  <c r="J645" i="1"/>
  <c r="G624" i="1"/>
  <c r="K500" i="1"/>
  <c r="I460" i="1"/>
  <c r="I452" i="1"/>
  <c r="I446" i="1"/>
  <c r="G642" i="1" s="1"/>
  <c r="D145" i="2"/>
  <c r="C78" i="2"/>
  <c r="C81" i="2" s="1"/>
  <c r="L211" i="1"/>
  <c r="L362" i="1"/>
  <c r="C27" i="10" s="1"/>
  <c r="G81" i="2"/>
  <c r="C62" i="2"/>
  <c r="C63" i="2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H648" i="1"/>
  <c r="J648" i="1" s="1"/>
  <c r="J652" i="1"/>
  <c r="G571" i="1"/>
  <c r="I434" i="1"/>
  <c r="G434" i="1"/>
  <c r="E104" i="2"/>
  <c r="I663" i="1"/>
  <c r="J624" i="1" l="1"/>
  <c r="L545" i="1"/>
  <c r="K552" i="1"/>
  <c r="G104" i="2"/>
  <c r="E33" i="13"/>
  <c r="D35" i="13" s="1"/>
  <c r="L408" i="1"/>
  <c r="G637" i="1" s="1"/>
  <c r="J637" i="1" s="1"/>
  <c r="C36" i="10"/>
  <c r="I661" i="1"/>
  <c r="F664" i="1"/>
  <c r="F667" i="1" s="1"/>
  <c r="G635" i="1"/>
  <c r="J635" i="1" s="1"/>
  <c r="H646" i="1"/>
  <c r="J646" i="1" s="1"/>
  <c r="F33" i="13"/>
  <c r="E115" i="2"/>
  <c r="G672" i="1"/>
  <c r="C5" i="10" s="1"/>
  <c r="E145" i="2"/>
  <c r="L338" i="1"/>
  <c r="L352" i="1" s="1"/>
  <c r="G633" i="1" s="1"/>
  <c r="J633" i="1" s="1"/>
  <c r="C28" i="10"/>
  <c r="D23" i="10" s="1"/>
  <c r="H660" i="1"/>
  <c r="H664" i="1" s="1"/>
  <c r="H672" i="1" s="1"/>
  <c r="C6" i="10" s="1"/>
  <c r="C128" i="2"/>
  <c r="C145" i="2" s="1"/>
  <c r="D104" i="2"/>
  <c r="C104" i="2"/>
  <c r="F672" i="1"/>
  <c r="C4" i="10" s="1"/>
  <c r="D31" i="13"/>
  <c r="C31" i="13" s="1"/>
  <c r="I461" i="1"/>
  <c r="H642" i="1" s="1"/>
  <c r="J64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I660" i="1"/>
  <c r="I664" i="1" s="1"/>
  <c r="I672" i="1" s="1"/>
  <c r="C7" i="10" s="1"/>
  <c r="D20" i="10"/>
  <c r="D12" i="10"/>
  <c r="D19" i="10"/>
  <c r="D13" i="10"/>
  <c r="D11" i="10"/>
  <c r="D17" i="10"/>
  <c r="D18" i="10"/>
  <c r="D25" i="10"/>
  <c r="D22" i="10"/>
  <c r="D27" i="10"/>
  <c r="D15" i="10"/>
  <c r="D21" i="10"/>
  <c r="D24" i="10"/>
  <c r="D10" i="10"/>
  <c r="D26" i="10"/>
  <c r="C30" i="10"/>
  <c r="D16" i="10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<sst xmlns="http://schemas.openxmlformats.org/spreadsheetml/2006/main" count="3963" uniqueCount="919">
  <si>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</si>
  <si>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</si>
  <si>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</si>
  <si>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</si>
  <si>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</si>
  <si>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</si>
  <si>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</si>
  <si>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</si>
  <si>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</si>
  <si>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</si>
  <si>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</si>
  <si>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</si>
  <si>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</si>
  <si>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</si>
  <si>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</si>
  <si>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</si>
  <si>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</si>
  <si>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</si>
  <si>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</si>
  <si>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</si>
  <si>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</si>
  <si>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</si>
  <si>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</si>
  <si>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</si>
  <si>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</si>
  <si>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</si>
  <si>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</si>
  <si>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</si>
  <si>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</si>
  <si>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</si>
  <si>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</si>
  <si>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</si>
  <si>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</si>
  <si>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</si>
  <si>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</si>
  <si>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</si>
  <si>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</si>
  <si>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</si>
  <si>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</si>
  <si>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</si>
  <si>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</si>
  <si>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</si>
  <si>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</si>
  <si>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</si>
  <si>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</si>
  <si>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</si>
  <si>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</si>
  <si>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</si>
  <si>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</si>
  <si>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</si>
  <si>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</si>
  <si>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</si>
  <si>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</si>
  <si>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</si>
  <si>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</si>
  <si>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</si>
  <si>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</si>
  <si>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</si>
  <si>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</si>
  <si>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</si>
  <si>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</si>
  <si>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</si>
  <si>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</si>
  <si>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</si>
  <si>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</si>
  <si>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</si>
  <si>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</si>
  <si>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</si>
  <si>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</si>
  <si>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</si>
  <si>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</si>
  <si>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</si>
  <si>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</si>
  <si>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</si>
  <si>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</si>
  <si>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</si>
  <si>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</si>
  <si>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</si>
  <si>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</si>
  <si>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</si>
  <si>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</si>
  <si>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</si>
  <si>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</si>
  <si>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</si>
  <si>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</si>
  <si>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</si>
  <si>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</si>
  <si>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</si>
  <si>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</si>
  <si>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</si>
  <si>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</si>
  <si>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</si>
  <si>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</si>
  <si>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</si>
  <si>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</si>
  <si>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</si>
  <si>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</si>
  <si>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</si>
  <si>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</si>
  <si>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</si>
  <si>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</si>
  <si>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</si>
  <si>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</si>
  <si>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</si>
  <si>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</si>
  <si>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</si>
  <si>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</si>
  <si>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</si>
  <si>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</si>
  <si>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</si>
  <si>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</si>
  <si>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</si>
  <si>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</si>
  <si>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</si>
  <si>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</si>
  <si>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</si>
  <si>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</si>
  <si>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</si>
  <si>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</si>
  <si>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</si>
  <si>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</si>
  <si>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</si>
  <si>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</si>
  <si>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</si>
  <si>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</si>
  <si>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</si>
  <si>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</si>
  <si>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</si>
  <si>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</si>
  <si>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</si>
  <si>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</si>
  <si>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</si>
  <si>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</si>
  <si>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</si>
  <si>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</si>
  <si>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</si>
  <si>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</si>
  <si>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</si>
  <si>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</si>
  <si>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</si>
  <si>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</si>
  <si>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</si>
  <si>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</si>
  <si>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</si>
  <si>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</si>
  <si>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</si>
  <si>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</si>
  <si>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</si>
  <si>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</si>
  <si>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</si>
  <si>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</si>
  <si>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</si>
  <si>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</si>
  <si>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</si>
  <si>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</si>
  <si>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</si>
  <si>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</si>
  <si>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</si>
  <si>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</si>
  <si>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</si>
  <si>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</si>
  <si>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</si>
  <si>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</si>
  <si>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</si>
  <si>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</si>
  <si>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</si>
  <si>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</si>
  <si>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</si>
  <si>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</si>
  <si>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</si>
  <si>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</si>
  <si>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</si>
  <si>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</si>
  <si>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</si>
  <si>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</si>
  <si>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</si>
  <si>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</si>
  <si>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</si>
  <si>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</si>
  <si>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</si>
  <si>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</si>
  <si>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</si>
  <si>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</si>
  <si>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</si>
  <si>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</si>
  <si>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</si>
  <si>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</si>
  <si>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</si>
  <si>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</si>
  <si>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</si>
  <si>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</si>
  <si>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</si>
  <si>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</si>
  <si>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</si>
  <si>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</si>
  <si>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</si>
  <si>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</si>
  <si>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</si>
  <si>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</si>
  <si>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</si>
  <si>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</si>
  <si>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</si>
  <si>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</si>
  <si>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</si>
  <si>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</si>
  <si>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</si>
  <si>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</si>
  <si>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</si>
  <si>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</si>
  <si>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</si>
  <si>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</si>
  <si>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</si>
  <si>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</si>
  <si>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</si>
  <si>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</si>
  <si>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</si>
  <si>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</si>
  <si>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</si>
  <si>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</si>
  <si>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</si>
  <si>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</si>
  <si>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</si>
  <si>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</si>
  <si>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</si>
  <si>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</si>
  <si>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</si>
  <si>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</si>
  <si>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</si>
  <si>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</si>
  <si>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</si>
  <si>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</si>
  <si>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</si>
  <si>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</si>
  <si>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</si>
  <si>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</si>
  <si>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</si>
  <si>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</si>
  <si>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</si>
  <si>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</si>
  <si>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</si>
  <si>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</si>
  <si>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</si>
  <si>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</si>
  <si>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</si>
  <si>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</si>
  <si>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</si>
  <si>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</si>
  <si>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</si>
  <si>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</si>
  <si>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</si>
  <si>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</si>
  <si>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</si>
  <si>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</si>
  <si>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</si>
  <si>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</si>
  <si>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</si>
  <si>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</si>
  <si>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</si>
  <si>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</si>
  <si>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</si>
  <si>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</si>
  <si>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</si>
  <si>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</si>
  <si>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</si>
  <si>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</si>
  <si>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</si>
  <si>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</si>
  <si>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</si>
  <si>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</si>
  <si>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</si>
  <si>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</si>
  <si>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</si>
  <si>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</si>
  <si>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</si>
  <si>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</si>
  <si>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</si>
  <si>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</si>
  <si>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</si>
  <si>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</si>
  <si>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</si>
  <si>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</si>
  <si>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</si>
  <si>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</si>
  <si>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</si>
  <si>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</si>
  <si>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</si>
  <si>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</si>
  <si>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</si>
  <si>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</si>
  <si>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</si>
  <si>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</si>
  <si>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</si>
  <si>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</si>
  <si>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</si>
  <si>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</si>
  <si>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</si>
  <si>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</si>
  <si>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</si>
  <si>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</si>
  <si>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</si>
  <si>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</si>
  <si>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</si>
  <si>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</si>
  <si>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</si>
  <si>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</si>
  <si>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</si>
  <si>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</si>
  <si>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</si>
  <si>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</si>
  <si>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</si>
  <si>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</si>
  <si>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</si>
  <si>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</si>
  <si>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</si>
  <si>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</si>
  <si>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</si>
  <si>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</si>
  <si>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</si>
  <si>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</si>
  <si>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</si>
  <si>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</si>
  <si>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</si>
  <si>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</si>
  <si>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</si>
  <si>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</si>
  <si>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</si>
  <si>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</si>
  <si>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</si>
  <si>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</si>
  <si>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</si>
  <si>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</si>
  <si>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</si>
  <si>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</si>
  <si>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</si>
  <si>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</si>
  <si>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</si>
  <si>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</si>
  <si>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</si>
  <si>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</si>
  <si>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</si>
  <si>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</si>
  <si>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</si>
  <si>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</si>
  <si>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</si>
  <si>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</si>
  <si>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</si>
  <si>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</si>
  <si>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</si>
  <si>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</si>
  <si>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</si>
  <si>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</si>
  <si>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</si>
  <si>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</si>
  <si>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</si>
  <si>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</si>
  <si>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</si>
  <si>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</si>
  <si>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</si>
  <si>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</si>
  <si>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</si>
  <si>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</si>
  <si>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</si>
  <si>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</si>
  <si>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</si>
  <si>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</si>
  <si>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</si>
  <si>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</si>
  <si>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</si>
  <si>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</si>
  <si>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</si>
  <si>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</si>
  <si>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</si>
  <si>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</si>
  <si>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</si>
  <si>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</si>
  <si>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</si>
  <si>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</si>
  <si>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</si>
  <si>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</si>
  <si>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</si>
  <si>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</si>
  <si>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</si>
  <si>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</si>
  <si>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</si>
  <si>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</si>
  <si>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</si>
  <si>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</si>
  <si>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</si>
  <si>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</si>
  <si>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</si>
  <si>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</si>
  <si>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</si>
  <si>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</si>
  <si>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</si>
  <si>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</si>
  <si>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</si>
  <si>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</si>
  <si>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</si>
  <si>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</si>
  <si>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</si>
  <si>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</si>
  <si>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</si>
  <si>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</si>
  <si>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</si>
  <si>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</si>
  <si>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</si>
  <si>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</si>
  <si>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</si>
  <si>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</si>
  <si>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</si>
  <si>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</si>
  <si>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</si>
  <si>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</si>
  <si>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</si>
  <si>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</si>
  <si>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</si>
  <si>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</si>
  <si>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</si>
  <si>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</si>
  <si>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</si>
  <si>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</si>
  <si>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</si>
  <si>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</si>
  <si>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</si>
  <si>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</si>
  <si>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</si>
  <si>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</si>
  <si>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</si>
  <si>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</si>
  <si>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</si>
  <si>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</si>
  <si>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</si>
  <si>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</si>
  <si>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</si>
  <si>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</si>
  <si>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</si>
  <si>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</si>
  <si>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</si>
  <si>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</si>
  <si>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</si>
  <si>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</si>
  <si>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</si>
  <si>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</si>
  <si>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</si>
  <si>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</si>
  <si>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</si>
  <si>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</si>
  <si>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</si>
  <si>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</si>
  <si>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</si>
  <si>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</si>
  <si>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</si>
  <si>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</si>
  <si>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</si>
  <si>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</si>
  <si>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</si>
  <si>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</si>
  <si>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</si>
  <si>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</si>
  <si>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</si>
  <si>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</si>
  <si>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</si>
  <si>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</si>
  <si>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</si>
  <si>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</si>
  <si>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</si>
  <si>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</si>
  <si>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</si>
  <si>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</si>
  <si>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</si>
  <si>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</si>
  <si>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</si>
  <si>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</si>
  <si>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</si>
  <si>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</si>
  <si>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</si>
  <si>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</si>
  <si>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</si>
  <si>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</si>
  <si>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</si>
  <si>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</si>
  <si>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</si>
  <si>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</si>
  <si>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</si>
  <si>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</si>
  <si>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</si>
  <si>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</si>
  <si>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</si>
  <si>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</si>
  <si>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</si>
  <si>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</si>
  <si>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</si>
  <si>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</si>
  <si>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</si>
  <si>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</si>
  <si>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</si>
  <si>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</si>
  <si>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</si>
  <si>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</si>
  <si>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</si>
  <si>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</si>
  <si>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</si>
  <si>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</si>
  <si>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</si>
  <si>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</si>
  <si>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</si>
  <si>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</si>
  <si>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</si>
  <si>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</si>
  <si>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</si>
  <si>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</si>
  <si>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</si>
  <si>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</si>
  <si>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</si>
  <si>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</si>
  <si>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</si>
  <si>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</si>
  <si>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</si>
  <si>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</si>
  <si>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</si>
  <si>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</si>
  <si>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</si>
  <si>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</si>
  <si>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</si>
  <si>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</si>
  <si>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</si>
  <si>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</si>
  <si>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</si>
  <si>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</si>
  <si>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</si>
  <si>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</si>
  <si>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</si>
  <si>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</si>
  <si>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</si>
  <si>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</si>
  <si>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</si>
  <si>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</si>
  <si>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</si>
  <si>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</si>
  <si>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</si>
  <si>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</si>
  <si>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</si>
  <si>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</si>
  <si>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</si>
  <si>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</si>
  <si>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</si>
  <si>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</si>
  <si>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</si>
  <si>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</si>
  <si>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</si>
  <si>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</si>
  <si>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</si>
  <si>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</si>
  <si>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</si>
  <si>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</si>
  <si>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</si>
  <si>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</si>
  <si>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</si>
  <si>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</si>
  <si>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</si>
  <si>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</si>
  <si>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</si>
  <si>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</si>
  <si>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</si>
  <si>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</si>
  <si>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</si>
  <si>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</si>
  <si>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</si>
  <si>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</si>
  <si>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</si>
  <si>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</si>
  <si>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</si>
  <si>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</si>
  <si>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</si>
  <si>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</si>
  <si>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</si>
  <si>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</si>
  <si>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</si>
  <si>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</si>
  <si>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</si>
  <si>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</si>
  <si>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</si>
  <si>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</si>
  <si>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</si>
  <si>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</si>
  <si>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</si>
  <si>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</si>
  <si>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</si>
  <si>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</si>
  <si>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</si>
  <si>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</si>
  <si>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</si>
  <si>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</si>
  <si>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</si>
  <si>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</si>
  <si>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</si>
  <si>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</si>
  <si>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</si>
  <si>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</si>
  <si>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</si>
  <si>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</si>
  <si>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</si>
  <si>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</si>
  <si>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</si>
  <si>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</si>
  <si>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</si>
  <si>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</si>
  <si>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</si>
  <si>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</si>
  <si>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</si>
  <si>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</si>
  <si>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</si>
  <si>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</si>
  <si>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</si>
  <si>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</si>
  <si>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</si>
  <si>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</si>
  <si>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</si>
  <si>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</si>
  <si>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</si>
  <si>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</si>
  <si>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</si>
  <si>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</si>
  <si>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</si>
  <si>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</si>
  <si>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</si>
  <si>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</si>
  <si>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</si>
  <si>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</si>
  <si>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</si>
  <si>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</si>
  <si>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</si>
  <si>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</si>
  <si>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</si>
  <si>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</si>
  <si>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</si>
  <si>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</si>
  <si>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</si>
  <si>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</si>
  <si>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</si>
  <si>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</si>
  <si>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</si>
  <si>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</si>
  <si>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</si>
  <si>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</si>
  <si>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</si>
  <si>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</si>
  <si>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</si>
  <si>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</si>
  <si>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</si>
  <si>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</si>
  <si>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</si>
  <si>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</si>
  <si>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</si>
  <si>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</si>
  <si>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</si>
  <si>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</si>
  <si>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</si>
  <si>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</si>
  <si>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</si>
  <si>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</si>
  <si>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</si>
  <si>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</si>
  <si>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</si>
  <si>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</si>
  <si>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</si>
  <si>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</si>
  <si>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</si>
  <si>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</si>
  <si>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</si>
  <si>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</si>
  <si>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</si>
  <si>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</si>
  <si>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</si>
  <si>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</si>
  <si>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</si>
  <si>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</si>
  <si>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</si>
  <si>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</si>
  <si>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</si>
  <si>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</si>
  <si>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</si>
  <si>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</si>
  <si>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</si>
  <si>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</si>
  <si>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</si>
  <si>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</si>
  <si>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</si>
  <si>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</si>
  <si>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</si>
  <si>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</si>
  <si>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</si>
  <si>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</si>
  <si>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</si>
  <si>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</si>
  <si>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</si>
  <si>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</si>
  <si>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</si>
  <si>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</si>
  <si>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</si>
  <si>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</si>
  <si>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</si>
  <si>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</si>
  <si>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</si>
  <si>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</si>
  <si>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</si>
  <si>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</si>
  <si>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</si>
  <si>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</si>
  <si>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</si>
  <si>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</si>
  <si>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</si>
  <si>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</si>
  <si>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</si>
  <si>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</si>
  <si>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</si>
  <si>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</si>
  <si>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</si>
  <si>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</si>
  <si>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</si>
  <si>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</si>
  <si>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</si>
  <si>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</si>
  <si>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</si>
  <si>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</si>
  <si>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</si>
  <si>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</si>
  <si>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</si>
  <si>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</si>
  <si>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</si>
  <si>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</si>
  <si>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</si>
  <si>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</si>
  <si>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</si>
  <si>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</si>
  <si>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</si>
  <si>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</si>
  <si>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</si>
  <si>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</si>
  <si>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</si>
  <si>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</si>
  <si>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</si>
  <si>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</si>
  <si>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</si>
  <si>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</si>
  <si>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</si>
  <si>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</si>
  <si>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</si>
  <si>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</si>
  <si>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</si>
  <si>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</si>
  <si>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</si>
  <si>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</si>
  <si>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</si>
  <si>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</si>
  <si>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</si>
  <si>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</si>
  <si>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</si>
  <si>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</si>
  <si>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</si>
  <si>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</si>
  <si>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</si>
  <si>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</si>
  <si>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</si>
  <si>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</si>
  <si>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</si>
  <si>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</si>
  <si>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</si>
  <si>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</si>
  <si>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</si>
  <si>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</si>
  <si>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</si>
  <si>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</si>
  <si>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</si>
  <si>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</si>
  <si>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</si>
  <si>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</si>
  <si>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</si>
  <si>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</si>
  <si>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</si>
  <si>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</si>
  <si>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</si>
  <si>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</si>
  <si>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</si>
  <si>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</si>
  <si>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</si>
  <si>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</si>
  <si>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</si>
  <si>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</si>
  <si>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</si>
  <si>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</si>
  <si>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</si>
  <si>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</si>
  <si>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</si>
  <si>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</si>
  <si>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</si>
  <si>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</si>
  <si>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</si>
  <si>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</si>
  <si>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</si>
  <si>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</si>
  <si>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</si>
  <si>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</si>
  <si>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</si>
  <si>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</si>
  <si>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</si>
  <si>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</si>
  <si>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</si>
  <si>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</si>
  <si>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</si>
  <si>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</si>
  <si>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</si>
  <si>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</si>
  <si>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</si>
  <si>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</si>
  <si>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</si>
  <si>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</si>
  <si>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</si>
  <si>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</si>
  <si>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</si>
  <si>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</si>
  <si>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</si>
  <si>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</si>
  <si>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</si>
  <si>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</si>
  <si>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</si>
  <si>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</si>
  <si>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</si>
  <si>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</si>
  <si>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</si>
  <si>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</si>
  <si>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</si>
  <si>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</si>
  <si>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</si>
  <si>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</si>
  <si>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</si>
  <si>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</si>
  <si>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</si>
  <si>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</si>
  <si>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</si>
  <si>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</si>
  <si>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</si>
  <si>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</si>
  <si>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</si>
  <si>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</si>
  <si>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</si>
  <si>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</si>
  <si>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</si>
  <si>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</si>
  <si>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</si>
  <si>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</si>
  <si>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</si>
  <si>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</si>
  <si>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</si>
  <si>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</si>
  <si>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</si>
  <si>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</si>
  <si>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</si>
  <si>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</si>
  <si>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</si>
  <si>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</si>
  <si>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</si>
  <si>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</si>
  <si>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</si>
  <si>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</si>
  <si>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</si>
  <si>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</si>
  <si>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</si>
  <si>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</si>
  <si>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</si>
  <si>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</si>
  <si>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</si>
  <si>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</si>
  <si>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</si>
  <si>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</si>
  <si>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</si>
  <si>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</si>
  <si>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</si>
  <si>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</si>
  <si>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</si>
  <si>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</si>
  <si>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</si>
  <si>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</si>
  <si>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</si>
  <si>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</si>
  <si>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</si>
  <si>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</si>
  <si>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</si>
  <si>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</si>
  <si>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</si>
  <si>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</si>
  <si>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</si>
  <si>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</si>
  <si>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</si>
  <si>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</si>
  <si>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</si>
  <si>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</si>
  <si>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</si>
  <si>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</si>
  <si>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</si>
  <si>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</si>
  <si>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</si>
  <si>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</si>
  <si>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</si>
  <si>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</si>
  <si>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</si>
  <si>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</si>
  <si>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</si>
  <si>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</si>
  <si>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</si>
  <si>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</si>
  <si>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</si>
  <si>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11/01</t>
  </si>
  <si>
    <t>08/03</t>
  </si>
  <si>
    <t>02/23</t>
  </si>
  <si>
    <t>11/21</t>
  </si>
  <si>
    <t>06/16</t>
  </si>
  <si>
    <t>07/26</t>
  </si>
  <si>
    <t>Oyster River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</si>
</sst>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38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918</v>
      </c>
      <c r="B2" s="21">
        <v>423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1943569.57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1307652.71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908253.88</v>
      </c>
      <c r="G12" s="18">
        <v>67384.94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3975</v>
      </c>
      <c r="G14" s="18">
        <v>25839.71</v>
      </c>
      <c r="H14" s="18">
        <v>166208.46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140082.72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2995881.1700000004</v>
      </c>
      <c r="G19" s="41">
        <f>SUM(G9:G18)</f>
        <v>93224.65</v>
      </c>
      <c r="H19" s="41">
        <f>SUM(H9:H18)</f>
        <v>166208.46</v>
      </c>
      <c r="I19" s="41">
        <f>SUM(I9:I18)</f>
        <v>0</v>
      </c>
      <c r="J19" s="41">
        <f>SUM(J9:J18)</f>
        <v>1307652.71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903794.81</v>
      </c>
      <c r="G22" s="18"/>
      <c r="H22" s="18">
        <v>71268.009999999995</v>
      </c>
      <c r="I22" s="18"/>
      <c r="J22" s="67">
        <f>SUM(I448)</f>
        <v>576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311524.69+80787.55</f>
        <v>392312.24</v>
      </c>
      <c r="G24" s="18">
        <v>252.03</v>
      </c>
      <c r="H24" s="18">
        <v>1700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873545.28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35444.480000000003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2169652.33</v>
      </c>
      <c r="G32" s="41">
        <f>SUM(G22:G31)</f>
        <v>35696.51</v>
      </c>
      <c r="H32" s="41">
        <f>SUM(H22:H31)</f>
        <v>72968.009999999995</v>
      </c>
      <c r="I32" s="41">
        <f>SUM(I22:I31)</f>
        <v>0</v>
      </c>
      <c r="J32" s="41">
        <f>SUM(J22:J31)</f>
        <v>576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140082.72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57528.14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43304.52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f>400000-50000</f>
        <v>350000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f>112087.9-18847.45</f>
        <v>93240.45</v>
      </c>
      <c r="I48" s="18"/>
      <c r="J48" s="13">
        <f>SUM(I459)</f>
        <v>1307076.71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723449.32+179.83-350000-80787.55</f>
        <v>292841.59999999992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826228.83999999985</v>
      </c>
      <c r="G51" s="41">
        <f>SUM(G35:G50)</f>
        <v>57528.14</v>
      </c>
      <c r="H51" s="41">
        <f>SUM(H35:H50)</f>
        <v>93240.45</v>
      </c>
      <c r="I51" s="41">
        <f>SUM(I35:I50)</f>
        <v>0</v>
      </c>
      <c r="J51" s="41">
        <f>SUM(J35:J50)</f>
        <v>1307076.71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2995881.17</v>
      </c>
      <c r="G52" s="41">
        <f>G51+G32</f>
        <v>93224.65</v>
      </c>
      <c r="H52" s="41">
        <f>H51+H32</f>
        <v>166208.46</v>
      </c>
      <c r="I52" s="41">
        <f>I51+I32</f>
        <v>0</v>
      </c>
      <c r="J52" s="41">
        <f>J51+J32</f>
        <v>1307652.71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30316332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30316332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1470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300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2244276.7999999998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2246046.7999999998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3387.19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3387.19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7101.01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693261.48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36305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29488.75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12085.95</v>
      </c>
      <c r="I102" s="18"/>
      <c r="J102" s="18">
        <v>1306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500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20727.28</v>
      </c>
      <c r="G110" s="18"/>
      <c r="H110" s="18">
        <v>39610.769999999997</v>
      </c>
      <c r="I110" s="18"/>
      <c r="J110" s="18">
        <v>10875.91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57817.04</v>
      </c>
      <c r="G111" s="41">
        <f>SUM(G96:G110)</f>
        <v>693261.48</v>
      </c>
      <c r="H111" s="41">
        <f>SUM(H96:H110)</f>
        <v>88001.72</v>
      </c>
      <c r="I111" s="41">
        <f>SUM(I96:I110)</f>
        <v>0</v>
      </c>
      <c r="J111" s="41">
        <f>SUM(J96:J110)</f>
        <v>12181.91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32623583.030000001</v>
      </c>
      <c r="G112" s="41">
        <f>G60+G111</f>
        <v>693261.48</v>
      </c>
      <c r="H112" s="41">
        <f>H60+H79+H94+H111</f>
        <v>88001.72</v>
      </c>
      <c r="I112" s="41">
        <f>I60+I111</f>
        <v>0</v>
      </c>
      <c r="J112" s="41">
        <f>J60+J111</f>
        <v>12181.91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4888323.67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3842252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3908.35+6967.7</f>
        <v>10876.05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8741451.7200000007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523742.09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113058.01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2773.6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7554.21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639573.69999999995</v>
      </c>
      <c r="G136" s="41">
        <f>SUM(G123:G135)</f>
        <v>7554.21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9381025.4199999999</v>
      </c>
      <c r="G140" s="41">
        <f>G121+SUM(G136:G137)</f>
        <v>7554.21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56376.52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92297.600000000006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108722.58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476872.88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347366.75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347366.75</v>
      </c>
      <c r="G162" s="41">
        <f>SUM(G150:G161)</f>
        <v>108722.58</v>
      </c>
      <c r="H162" s="41">
        <f>SUM(H150:H161)</f>
        <v>625547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347366.75</v>
      </c>
      <c r="G169" s="41">
        <f>G147+G162+SUM(G163:G168)</f>
        <v>108722.58</v>
      </c>
      <c r="H169" s="41">
        <f>H147+H162+SUM(H163:H168)</f>
        <v>625547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200000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18503</v>
      </c>
      <c r="G181" s="18"/>
      <c r="H181" s="24" t="s">
        <v>286</v>
      </c>
      <c r="I181" s="18"/>
      <c r="J181" s="18">
        <v>18503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18503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218503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18503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218503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42370478.200000003</v>
      </c>
      <c r="G193" s="47">
        <f>G112+G140+G169+G192</f>
        <v>809538.2699999999</v>
      </c>
      <c r="H193" s="47">
        <f>H112+H140+H169+H192</f>
        <v>713548.72</v>
      </c>
      <c r="I193" s="47">
        <f>I112+I140+I169+I192</f>
        <v>0</v>
      </c>
      <c r="J193" s="47">
        <f>J112+J140+J192</f>
        <v>230684.91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4046477.0700000003</v>
      </c>
      <c r="G197" s="18">
        <v>1666408.98</v>
      </c>
      <c r="H197" s="18">
        <v>36995.160000000003</v>
      </c>
      <c r="I197" s="18">
        <v>117738.48</v>
      </c>
      <c r="J197" s="18">
        <v>8217.89</v>
      </c>
      <c r="K197" s="18">
        <v>806</v>
      </c>
      <c r="L197" s="19">
        <f>SUM(F197:K197)</f>
        <v>5876643.580000001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1327258.1500000001</v>
      </c>
      <c r="G198" s="18">
        <v>506310.45999999996</v>
      </c>
      <c r="H198" s="18">
        <v>335620.88</v>
      </c>
      <c r="I198" s="18">
        <v>8286.0299999999988</v>
      </c>
      <c r="J198" s="18">
        <v>559.29999999999995</v>
      </c>
      <c r="K198" s="18">
        <v>4322.53</v>
      </c>
      <c r="L198" s="19">
        <f>SUM(F198:K198)</f>
        <v>2182357.3499999996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54232.19</v>
      </c>
      <c r="G200" s="18">
        <v>8189.0699999999988</v>
      </c>
      <c r="H200" s="18">
        <v>20778.900000000001</v>
      </c>
      <c r="I200" s="18">
        <v>715.42000000000007</v>
      </c>
      <c r="J200" s="18">
        <v>0</v>
      </c>
      <c r="K200" s="18">
        <v>0</v>
      </c>
      <c r="L200" s="19">
        <f>SUM(F200:K200)</f>
        <v>83915.58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788593.4</v>
      </c>
      <c r="G202" s="18">
        <v>350433.80000000005</v>
      </c>
      <c r="H202" s="18">
        <v>173629.77000000002</v>
      </c>
      <c r="I202" s="18">
        <v>6913.22</v>
      </c>
      <c r="J202" s="18">
        <v>1173.44</v>
      </c>
      <c r="K202" s="18">
        <v>0</v>
      </c>
      <c r="L202" s="19">
        <f t="shared" ref="L202:L208" si="0">SUM(F202:K202)</f>
        <v>1320743.6300000001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210525.74</v>
      </c>
      <c r="G203" s="18">
        <v>90209.25999999998</v>
      </c>
      <c r="H203" s="18">
        <v>39766.68</v>
      </c>
      <c r="I203" s="18">
        <v>52550.740000000005</v>
      </c>
      <c r="J203" s="18">
        <v>4441.0599999999995</v>
      </c>
      <c r="K203" s="18">
        <v>0</v>
      </c>
      <c r="L203" s="19">
        <f t="shared" si="0"/>
        <v>397493.48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184681.11</v>
      </c>
      <c r="G204" s="18">
        <v>65112.22</v>
      </c>
      <c r="H204" s="18">
        <v>56621.82</v>
      </c>
      <c r="I204" s="18">
        <v>7452.95</v>
      </c>
      <c r="J204" s="18">
        <v>0</v>
      </c>
      <c r="K204" s="18">
        <v>9147.56</v>
      </c>
      <c r="L204" s="19">
        <f t="shared" si="0"/>
        <v>323015.65999999997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391942.51</v>
      </c>
      <c r="G205" s="18">
        <v>202386.46000000002</v>
      </c>
      <c r="H205" s="18">
        <v>66206.219999999987</v>
      </c>
      <c r="I205" s="18">
        <v>4615.16</v>
      </c>
      <c r="J205" s="18">
        <v>0</v>
      </c>
      <c r="K205" s="18">
        <v>2071</v>
      </c>
      <c r="L205" s="19">
        <f t="shared" si="0"/>
        <v>667221.35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101012.8</v>
      </c>
      <c r="G206" s="18">
        <v>43265.97</v>
      </c>
      <c r="H206" s="18">
        <v>45443.64</v>
      </c>
      <c r="I206" s="18">
        <v>1240.3499999999999</v>
      </c>
      <c r="J206" s="18">
        <v>0</v>
      </c>
      <c r="K206" s="18">
        <v>676.78</v>
      </c>
      <c r="L206" s="19">
        <f t="shared" si="0"/>
        <v>191639.54000000004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262143.25999999998</v>
      </c>
      <c r="G207" s="18">
        <v>134548.41999999998</v>
      </c>
      <c r="H207" s="18">
        <v>1162478.7400000002</v>
      </c>
      <c r="I207" s="18">
        <v>171739.27000000002</v>
      </c>
      <c r="J207" s="18">
        <v>8660.5300000000007</v>
      </c>
      <c r="K207" s="18">
        <v>0</v>
      </c>
      <c r="L207" s="19">
        <f t="shared" si="0"/>
        <v>1739570.2200000002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334679.12</v>
      </c>
      <c r="G208" s="18">
        <v>269872.25</v>
      </c>
      <c r="H208" s="18">
        <v>139519.44</v>
      </c>
      <c r="I208" s="18">
        <v>53900.89</v>
      </c>
      <c r="J208" s="18">
        <v>10263.450000000001</v>
      </c>
      <c r="K208" s="18">
        <v>1048.53</v>
      </c>
      <c r="L208" s="19">
        <f t="shared" si="0"/>
        <v>809283.68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146626.38</v>
      </c>
      <c r="G209" s="18">
        <v>79096.22</v>
      </c>
      <c r="H209" s="18">
        <v>132273.70000000001</v>
      </c>
      <c r="I209" s="18">
        <v>31932.07</v>
      </c>
      <c r="J209" s="18">
        <v>25495.62</v>
      </c>
      <c r="K209" s="18">
        <v>1852.66</v>
      </c>
      <c r="L209" s="19">
        <f>SUM(F209:K209)</f>
        <v>417276.65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7848171.7300000014</v>
      </c>
      <c r="G211" s="41">
        <f t="shared" si="1"/>
        <v>3415833.11</v>
      </c>
      <c r="H211" s="41">
        <f t="shared" si="1"/>
        <v>2209334.9500000002</v>
      </c>
      <c r="I211" s="41">
        <f t="shared" si="1"/>
        <v>457084.58000000007</v>
      </c>
      <c r="J211" s="41">
        <f t="shared" si="1"/>
        <v>58811.289999999994</v>
      </c>
      <c r="K211" s="41">
        <f t="shared" si="1"/>
        <v>19925.059999999998</v>
      </c>
      <c r="L211" s="41">
        <f t="shared" si="1"/>
        <v>14009160.720000003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3711743.65</v>
      </c>
      <c r="G215" s="18">
        <v>1764340.9999999998</v>
      </c>
      <c r="H215" s="18">
        <v>58565.289999999994</v>
      </c>
      <c r="I215" s="18">
        <v>74887.199999999997</v>
      </c>
      <c r="J215" s="18">
        <v>32741.1</v>
      </c>
      <c r="K215" s="18">
        <v>1004</v>
      </c>
      <c r="L215" s="19">
        <f>SUM(F215:K215)</f>
        <v>5643282.2399999993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1225219.46</v>
      </c>
      <c r="G216" s="18">
        <v>504405.69000000006</v>
      </c>
      <c r="H216" s="18">
        <v>253816.39</v>
      </c>
      <c r="I216" s="18">
        <v>10518.9</v>
      </c>
      <c r="J216" s="18">
        <v>295.32</v>
      </c>
      <c r="K216" s="18">
        <v>4098.63</v>
      </c>
      <c r="L216" s="19">
        <f>SUM(F216:K216)</f>
        <v>1998354.39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115608.9</v>
      </c>
      <c r="G218" s="18">
        <v>22077.09</v>
      </c>
      <c r="H218" s="18">
        <v>14734.990000000002</v>
      </c>
      <c r="I218" s="18">
        <v>6141.54</v>
      </c>
      <c r="J218" s="18">
        <v>0</v>
      </c>
      <c r="K218" s="18">
        <v>228.15</v>
      </c>
      <c r="L218" s="19">
        <f>SUM(F218:K218)</f>
        <v>158790.66999999998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577486.88</v>
      </c>
      <c r="G220" s="18">
        <v>212354.51</v>
      </c>
      <c r="H220" s="18">
        <v>171141.06</v>
      </c>
      <c r="I220" s="18">
        <v>5463.9000000000005</v>
      </c>
      <c r="J220" s="18">
        <v>3292.48</v>
      </c>
      <c r="K220" s="18">
        <v>0</v>
      </c>
      <c r="L220" s="19">
        <f t="shared" ref="L220:L226" si="2">SUM(F220:K220)</f>
        <v>969738.83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122369.84</v>
      </c>
      <c r="G221" s="18">
        <v>53101.709999999992</v>
      </c>
      <c r="H221" s="18">
        <v>39386.81</v>
      </c>
      <c r="I221" s="18">
        <v>26314.53</v>
      </c>
      <c r="J221" s="18">
        <v>3588.29</v>
      </c>
      <c r="K221" s="18">
        <v>0</v>
      </c>
      <c r="L221" s="19">
        <f t="shared" si="2"/>
        <v>244761.18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261305.9</v>
      </c>
      <c r="G222" s="18">
        <v>112914.34</v>
      </c>
      <c r="H222" s="18">
        <v>53688.89</v>
      </c>
      <c r="I222" s="18">
        <v>7066.9</v>
      </c>
      <c r="J222" s="18">
        <v>0</v>
      </c>
      <c r="K222" s="18">
        <v>8673.73</v>
      </c>
      <c r="L222" s="19">
        <f t="shared" si="2"/>
        <v>443649.76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283019.28000000003</v>
      </c>
      <c r="G223" s="18">
        <v>153682.97</v>
      </c>
      <c r="H223" s="18">
        <v>29853.560000000005</v>
      </c>
      <c r="I223" s="18">
        <v>3137.08</v>
      </c>
      <c r="J223" s="18">
        <v>0</v>
      </c>
      <c r="K223" s="18">
        <v>789</v>
      </c>
      <c r="L223" s="19">
        <f t="shared" si="2"/>
        <v>470481.89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95780.479999999996</v>
      </c>
      <c r="G224" s="18">
        <v>41024.86</v>
      </c>
      <c r="H224" s="18">
        <v>43089.73</v>
      </c>
      <c r="I224" s="18">
        <v>1176.0999999999999</v>
      </c>
      <c r="J224" s="18">
        <v>0</v>
      </c>
      <c r="K224" s="18">
        <v>641.73</v>
      </c>
      <c r="L224" s="19">
        <f t="shared" si="2"/>
        <v>181712.90000000002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277331.37</v>
      </c>
      <c r="G225" s="18">
        <v>131859.26</v>
      </c>
      <c r="H225" s="18">
        <v>241899.09</v>
      </c>
      <c r="I225" s="18">
        <v>144020.56</v>
      </c>
      <c r="J225" s="18">
        <v>10592.61</v>
      </c>
      <c r="K225" s="18">
        <v>0</v>
      </c>
      <c r="L225" s="19">
        <f t="shared" si="2"/>
        <v>805702.89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175780.8</v>
      </c>
      <c r="G226" s="18">
        <v>135514.1</v>
      </c>
      <c r="H226" s="18">
        <v>69218</v>
      </c>
      <c r="I226" s="18">
        <v>26950.44</v>
      </c>
      <c r="J226" s="18">
        <v>5131.7299999999996</v>
      </c>
      <c r="K226" s="18">
        <v>524.26</v>
      </c>
      <c r="L226" s="19">
        <f t="shared" si="2"/>
        <v>413119.33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139031.35</v>
      </c>
      <c r="G227" s="18">
        <v>74999.149999999994</v>
      </c>
      <c r="H227" s="18">
        <v>125422.11</v>
      </c>
      <c r="I227" s="18">
        <v>30278.04</v>
      </c>
      <c r="J227" s="18">
        <v>24174.98</v>
      </c>
      <c r="K227" s="18">
        <v>1756.69</v>
      </c>
      <c r="L227" s="19">
        <f>SUM(F227:K227)</f>
        <v>395662.31999999995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6984677.9100000001</v>
      </c>
      <c r="G229" s="41">
        <f>SUM(G215:G228)</f>
        <v>3206274.6799999997</v>
      </c>
      <c r="H229" s="41">
        <f>SUM(H215:H228)</f>
        <v>1100815.9200000002</v>
      </c>
      <c r="I229" s="41">
        <f>SUM(I215:I228)</f>
        <v>335955.18999999994</v>
      </c>
      <c r="J229" s="41">
        <f>SUM(J215:J228)</f>
        <v>79816.509999999995</v>
      </c>
      <c r="K229" s="41">
        <f t="shared" si="3"/>
        <v>17716.189999999999</v>
      </c>
      <c r="L229" s="41">
        <f t="shared" si="3"/>
        <v>11725256.4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4033407.2600000002</v>
      </c>
      <c r="G233" s="18">
        <v>2022907.2699999998</v>
      </c>
      <c r="H233" s="18">
        <v>53112.430000000008</v>
      </c>
      <c r="I233" s="18">
        <v>180668.45</v>
      </c>
      <c r="J233" s="18">
        <v>20708.13</v>
      </c>
      <c r="K233" s="18">
        <v>64</v>
      </c>
      <c r="L233" s="19">
        <f>SUM(F233:K233)</f>
        <v>6310867.54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1303357.22</v>
      </c>
      <c r="G234" s="18">
        <v>587428.53999999992</v>
      </c>
      <c r="H234" s="18">
        <v>336979.46</v>
      </c>
      <c r="I234" s="18">
        <v>10487.76</v>
      </c>
      <c r="J234" s="18">
        <v>0</v>
      </c>
      <c r="K234" s="18">
        <v>4932.04</v>
      </c>
      <c r="L234" s="19">
        <f>SUM(F234:K234)</f>
        <v>2243185.0199999996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28922.63</v>
      </c>
      <c r="I235" s="18">
        <v>0</v>
      </c>
      <c r="J235" s="18">
        <v>0</v>
      </c>
      <c r="K235" s="18">
        <v>0</v>
      </c>
      <c r="L235" s="19">
        <f>SUM(F235:K235)</f>
        <v>28922.63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296253.90000000002</v>
      </c>
      <c r="G236" s="18">
        <v>48250.68</v>
      </c>
      <c r="H236" s="18">
        <v>85296.680000000008</v>
      </c>
      <c r="I236" s="18">
        <v>29550.43</v>
      </c>
      <c r="J236" s="18">
        <v>16651.39</v>
      </c>
      <c r="K236" s="18">
        <v>45758.74</v>
      </c>
      <c r="L236" s="19">
        <f>SUM(F236:K236)</f>
        <v>521761.82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845450.14</v>
      </c>
      <c r="G238" s="18">
        <v>376602.98000000004</v>
      </c>
      <c r="H238" s="18">
        <v>256506.1</v>
      </c>
      <c r="I238" s="18">
        <v>5317.3100000000013</v>
      </c>
      <c r="J238" s="18">
        <v>1341.38</v>
      </c>
      <c r="K238" s="18">
        <v>0</v>
      </c>
      <c r="L238" s="19">
        <f t="shared" ref="L238:L244" si="4">SUM(F238:K238)</f>
        <v>1485217.9100000001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135089.07</v>
      </c>
      <c r="G239" s="18">
        <v>58994.8</v>
      </c>
      <c r="H239" s="18">
        <v>42489.43</v>
      </c>
      <c r="I239" s="18">
        <v>33244.79</v>
      </c>
      <c r="J239" s="18">
        <v>17628.010000000002</v>
      </c>
      <c r="K239" s="18">
        <v>0</v>
      </c>
      <c r="L239" s="19">
        <f t="shared" si="4"/>
        <v>287446.09999999998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296913.48</v>
      </c>
      <c r="G240" s="18">
        <v>125242.87999999999</v>
      </c>
      <c r="H240" s="18">
        <v>64605.9</v>
      </c>
      <c r="I240" s="18">
        <v>8503.86</v>
      </c>
      <c r="J240" s="18">
        <v>0</v>
      </c>
      <c r="K240" s="18">
        <v>10437.44</v>
      </c>
      <c r="L240" s="19">
        <f t="shared" si="4"/>
        <v>505703.56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381288.16000000003</v>
      </c>
      <c r="G241" s="18">
        <v>191797.5</v>
      </c>
      <c r="H241" s="18">
        <v>45664.69</v>
      </c>
      <c r="I241" s="18">
        <v>4457.3900000000003</v>
      </c>
      <c r="J241" s="18">
        <v>1205</v>
      </c>
      <c r="K241" s="18">
        <v>4092</v>
      </c>
      <c r="L241" s="19">
        <f t="shared" si="4"/>
        <v>628504.74000000011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115256.32000000001</v>
      </c>
      <c r="G242" s="18">
        <v>49366.78</v>
      </c>
      <c r="H242" s="18">
        <v>51851.53</v>
      </c>
      <c r="I242" s="18">
        <v>1415.24</v>
      </c>
      <c r="J242" s="18">
        <v>0</v>
      </c>
      <c r="K242" s="18">
        <v>772.22</v>
      </c>
      <c r="L242" s="19">
        <f t="shared" si="4"/>
        <v>218662.09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476833.72</v>
      </c>
      <c r="G243" s="18">
        <v>285002.88</v>
      </c>
      <c r="H243" s="18">
        <v>609545.13</v>
      </c>
      <c r="I243" s="18">
        <f>283508.34+80787.55</f>
        <v>364295.89</v>
      </c>
      <c r="J243" s="18">
        <v>19602.02</v>
      </c>
      <c r="K243" s="18">
        <v>0</v>
      </c>
      <c r="L243" s="19">
        <f t="shared" si="4"/>
        <v>1755279.6400000001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210005.1</v>
      </c>
      <c r="G244" s="18">
        <v>137974.06</v>
      </c>
      <c r="H244" s="18">
        <v>67225.990000000005</v>
      </c>
      <c r="I244" s="18">
        <v>26950.44</v>
      </c>
      <c r="J244" s="18">
        <v>5131.7199999999993</v>
      </c>
      <c r="K244" s="18">
        <v>524.26</v>
      </c>
      <c r="L244" s="19">
        <f t="shared" si="4"/>
        <v>447811.57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167301.76000000001</v>
      </c>
      <c r="G245" s="18">
        <v>90249.37</v>
      </c>
      <c r="H245" s="18">
        <v>150925.24</v>
      </c>
      <c r="I245" s="18">
        <v>36434.720000000001</v>
      </c>
      <c r="J245" s="18">
        <v>29090.69</v>
      </c>
      <c r="K245" s="18">
        <v>2113.9</v>
      </c>
      <c r="L245" s="19">
        <f>SUM(F245:K245)</f>
        <v>476115.68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8261156.1299999999</v>
      </c>
      <c r="G247" s="41">
        <f t="shared" si="5"/>
        <v>3973817.7399999993</v>
      </c>
      <c r="H247" s="41">
        <f t="shared" si="5"/>
        <v>1793125.21</v>
      </c>
      <c r="I247" s="41">
        <f t="shared" si="5"/>
        <v>701326.28</v>
      </c>
      <c r="J247" s="41">
        <f t="shared" si="5"/>
        <v>111358.34000000001</v>
      </c>
      <c r="K247" s="41">
        <f t="shared" si="5"/>
        <v>68694.599999999991</v>
      </c>
      <c r="L247" s="41">
        <f t="shared" si="5"/>
        <v>14909478.300000001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23094005.77</v>
      </c>
      <c r="G257" s="41">
        <f t="shared" si="8"/>
        <v>10595925.529999997</v>
      </c>
      <c r="H257" s="41">
        <f t="shared" si="8"/>
        <v>5103276.08</v>
      </c>
      <c r="I257" s="41">
        <f t="shared" si="8"/>
        <v>1494366.05</v>
      </c>
      <c r="J257" s="41">
        <f t="shared" si="8"/>
        <v>249986.14</v>
      </c>
      <c r="K257" s="41">
        <f t="shared" si="8"/>
        <v>106335.84999999999</v>
      </c>
      <c r="L257" s="41">
        <f t="shared" si="8"/>
        <v>40643895.420000002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1285000</v>
      </c>
      <c r="L260" s="19">
        <f>SUM(F260:K260)</f>
        <v>1285000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303687.5</v>
      </c>
      <c r="L261" s="19">
        <f>SUM(F261:K261)</f>
        <v>303687.5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218503</v>
      </c>
      <c r="L266" s="19">
        <f t="shared" si="9"/>
        <v>218503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1807190.5</v>
      </c>
      <c r="L270" s="41">
        <f t="shared" si="9"/>
        <v>1807190.5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23094005.77</v>
      </c>
      <c r="G271" s="42">
        <f t="shared" si="11"/>
        <v>10595925.529999997</v>
      </c>
      <c r="H271" s="42">
        <f t="shared" si="11"/>
        <v>5103276.08</v>
      </c>
      <c r="I271" s="42">
        <f t="shared" si="11"/>
        <v>1494366.05</v>
      </c>
      <c r="J271" s="42">
        <f t="shared" si="11"/>
        <v>249986.14</v>
      </c>
      <c r="K271" s="42">
        <f t="shared" si="11"/>
        <v>1913526.35</v>
      </c>
      <c r="L271" s="42">
        <f t="shared" si="11"/>
        <v>42451085.920000002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96054.76</v>
      </c>
      <c r="G276" s="18">
        <v>23182.55</v>
      </c>
      <c r="H276" s="18">
        <v>647.41</v>
      </c>
      <c r="I276" s="18"/>
      <c r="J276" s="18"/>
      <c r="K276" s="18"/>
      <c r="L276" s="19">
        <f>SUM(F276:K276)</f>
        <v>119884.72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577.5</v>
      </c>
      <c r="G277" s="18">
        <v>44.17</v>
      </c>
      <c r="H277" s="18">
        <v>19638.2</v>
      </c>
      <c r="I277" s="18"/>
      <c r="J277" s="18"/>
      <c r="K277" s="18"/>
      <c r="L277" s="19">
        <f>SUM(F277:K277)</f>
        <v>20259.87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7315.11</v>
      </c>
      <c r="G279" s="18">
        <v>1121.92</v>
      </c>
      <c r="H279" s="18">
        <v>1262.46</v>
      </c>
      <c r="I279" s="18">
        <v>545.55999999999995</v>
      </c>
      <c r="J279" s="18"/>
      <c r="K279" s="18"/>
      <c r="L279" s="19">
        <f>SUM(F279:K279)</f>
        <v>10245.049999999997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1986.96</v>
      </c>
      <c r="G282" s="18">
        <v>152.125</v>
      </c>
      <c r="H282" s="18">
        <v>7073.07</v>
      </c>
      <c r="I282" s="18"/>
      <c r="J282" s="18"/>
      <c r="K282" s="18"/>
      <c r="L282" s="19">
        <f t="shared" si="12"/>
        <v>9212.1549999999988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4560.5</v>
      </c>
      <c r="I288" s="18">
        <v>1522.94</v>
      </c>
      <c r="J288" s="18">
        <v>14792.85</v>
      </c>
      <c r="K288" s="18"/>
      <c r="L288" s="19">
        <f>SUM(F288:K288)</f>
        <v>20876.29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105934.33</v>
      </c>
      <c r="G290" s="42">
        <f t="shared" si="13"/>
        <v>24500.764999999999</v>
      </c>
      <c r="H290" s="42">
        <f t="shared" si="13"/>
        <v>33181.64</v>
      </c>
      <c r="I290" s="42">
        <f t="shared" si="13"/>
        <v>2068.5</v>
      </c>
      <c r="J290" s="42">
        <f t="shared" si="13"/>
        <v>14792.85</v>
      </c>
      <c r="K290" s="42">
        <f t="shared" si="13"/>
        <v>0</v>
      </c>
      <c r="L290" s="41">
        <f t="shared" si="13"/>
        <v>180478.08499999999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613.88</v>
      </c>
      <c r="I295" s="18">
        <v>0</v>
      </c>
      <c r="J295" s="18"/>
      <c r="K295" s="18"/>
      <c r="L295" s="19">
        <f>SUM(F295:K295)</f>
        <v>613.88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157084</v>
      </c>
      <c r="G296" s="18">
        <v>85644.19</v>
      </c>
      <c r="H296" s="18">
        <v>3640.29</v>
      </c>
      <c r="I296" s="18">
        <v>0</v>
      </c>
      <c r="J296" s="18"/>
      <c r="K296" s="18"/>
      <c r="L296" s="19">
        <f>SUM(F296:K296)</f>
        <v>246368.48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6936.19</v>
      </c>
      <c r="G298" s="18">
        <v>1063.8</v>
      </c>
      <c r="H298" s="18">
        <v>1197.07</v>
      </c>
      <c r="I298" s="18">
        <v>517.29999999999995</v>
      </c>
      <c r="J298" s="18"/>
      <c r="K298" s="18"/>
      <c r="L298" s="19">
        <f>SUM(F298:K298)</f>
        <v>9714.3599999999988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4486.96</v>
      </c>
      <c r="G301" s="18">
        <v>338.89499999999998</v>
      </c>
      <c r="H301" s="18">
        <v>6706.7</v>
      </c>
      <c r="I301" s="18"/>
      <c r="J301" s="18"/>
      <c r="K301" s="18"/>
      <c r="L301" s="19">
        <f t="shared" si="14"/>
        <v>11532.555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>
        <v>4324.2700000000004</v>
      </c>
      <c r="I307" s="18">
        <v>1707.73</v>
      </c>
      <c r="J307" s="18">
        <v>14026.6</v>
      </c>
      <c r="K307" s="18"/>
      <c r="L307" s="19">
        <f>SUM(F307:K307)</f>
        <v>20058.599999999999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168507.15</v>
      </c>
      <c r="G309" s="42">
        <f t="shared" si="15"/>
        <v>87046.885000000009</v>
      </c>
      <c r="H309" s="42">
        <f t="shared" si="15"/>
        <v>16482.21</v>
      </c>
      <c r="I309" s="42">
        <f t="shared" si="15"/>
        <v>2225.0299999999997</v>
      </c>
      <c r="J309" s="42">
        <f t="shared" si="15"/>
        <v>14026.6</v>
      </c>
      <c r="K309" s="42">
        <f t="shared" si="15"/>
        <v>0</v>
      </c>
      <c r="L309" s="41">
        <f t="shared" si="15"/>
        <v>288287.875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738.71</v>
      </c>
      <c r="I314" s="18">
        <v>0</v>
      </c>
      <c r="J314" s="18"/>
      <c r="K314" s="18"/>
      <c r="L314" s="19">
        <f>SUM(F314:K314)</f>
        <v>738.71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131436.5</v>
      </c>
      <c r="G315" s="18">
        <v>75049.19</v>
      </c>
      <c r="H315" s="18">
        <v>4380.5</v>
      </c>
      <c r="I315" s="18">
        <v>0</v>
      </c>
      <c r="J315" s="18"/>
      <c r="K315" s="18"/>
      <c r="L315" s="19">
        <f>SUM(F315:K315)</f>
        <v>210866.19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8346.59</v>
      </c>
      <c r="G317" s="18">
        <v>1280.1199999999999</v>
      </c>
      <c r="H317" s="18">
        <v>1440.48</v>
      </c>
      <c r="I317" s="18">
        <v>622.49</v>
      </c>
      <c r="J317" s="18"/>
      <c r="K317" s="18"/>
      <c r="L317" s="19">
        <f>SUM(F317:K317)</f>
        <v>11689.679999999998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8070.43</v>
      </c>
      <c r="I320" s="18"/>
      <c r="J320" s="18"/>
      <c r="K320" s="18"/>
      <c r="L320" s="19">
        <f t="shared" si="16"/>
        <v>8070.43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>
        <v>5203.5600000000004</v>
      </c>
      <c r="I326" s="18">
        <v>2528.9300000000003</v>
      </c>
      <c r="J326" s="18">
        <v>16878.740000000002</v>
      </c>
      <c r="K326" s="18"/>
      <c r="L326" s="19">
        <f>SUM(F326:K326)</f>
        <v>24611.230000000003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139783.09</v>
      </c>
      <c r="G328" s="42">
        <f t="shared" si="17"/>
        <v>76329.31</v>
      </c>
      <c r="H328" s="42">
        <f t="shared" si="17"/>
        <v>19833.68</v>
      </c>
      <c r="I328" s="42">
        <f t="shared" si="17"/>
        <v>3151.42</v>
      </c>
      <c r="J328" s="42">
        <f t="shared" si="17"/>
        <v>16878.740000000002</v>
      </c>
      <c r="K328" s="42">
        <f t="shared" si="17"/>
        <v>0</v>
      </c>
      <c r="L328" s="41">
        <f t="shared" si="17"/>
        <v>255976.24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>
        <v>7653.97</v>
      </c>
      <c r="J336" s="18"/>
      <c r="K336" s="18"/>
      <c r="L336" s="19">
        <f t="shared" si="18"/>
        <v>7653.97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7653.97</v>
      </c>
      <c r="J337" s="41">
        <f t="shared" si="19"/>
        <v>0</v>
      </c>
      <c r="K337" s="41">
        <f t="shared" si="19"/>
        <v>0</v>
      </c>
      <c r="L337" s="41">
        <f t="shared" si="18"/>
        <v>7653.97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414224.56999999995</v>
      </c>
      <c r="G338" s="41">
        <f t="shared" si="20"/>
        <v>187876.96000000002</v>
      </c>
      <c r="H338" s="41">
        <f t="shared" si="20"/>
        <v>69497.53</v>
      </c>
      <c r="I338" s="41">
        <f t="shared" si="20"/>
        <v>15098.92</v>
      </c>
      <c r="J338" s="41">
        <f t="shared" si="20"/>
        <v>45698.19</v>
      </c>
      <c r="K338" s="41">
        <f t="shared" si="20"/>
        <v>0</v>
      </c>
      <c r="L338" s="41">
        <f t="shared" si="20"/>
        <v>732396.16999999993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414224.56999999995</v>
      </c>
      <c r="G352" s="41">
        <f>G338</f>
        <v>187876.96000000002</v>
      </c>
      <c r="H352" s="41">
        <f>H338</f>
        <v>69497.53</v>
      </c>
      <c r="I352" s="41">
        <f>I338</f>
        <v>15098.92</v>
      </c>
      <c r="J352" s="41">
        <f>J338</f>
        <v>45698.19</v>
      </c>
      <c r="K352" s="47">
        <f>K338+K351</f>
        <v>0</v>
      </c>
      <c r="L352" s="41">
        <f>L338+L351</f>
        <v>732396.16999999993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114977.87</v>
      </c>
      <c r="G358" s="18">
        <v>26793.279999999999</v>
      </c>
      <c r="H358" s="18">
        <v>4786.54</v>
      </c>
      <c r="I358" s="18">
        <v>90267.780000000013</v>
      </c>
      <c r="J358" s="18"/>
      <c r="K358" s="18">
        <v>248.42000000000002</v>
      </c>
      <c r="L358" s="13">
        <f>SUM(F358:K358)</f>
        <v>237073.89000000004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131190.57999999999</v>
      </c>
      <c r="G359" s="18">
        <v>30571.33</v>
      </c>
      <c r="H359" s="18">
        <v>4430.7300000000005</v>
      </c>
      <c r="I359" s="18">
        <v>105327.61</v>
      </c>
      <c r="J359" s="18"/>
      <c r="K359" s="18">
        <v>171.32999999999998</v>
      </c>
      <c r="L359" s="19">
        <f>SUM(F359:K359)</f>
        <v>271691.58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109022.18</v>
      </c>
      <c r="G360" s="18">
        <v>25405.43</v>
      </c>
      <c r="H360" s="18">
        <v>7343.17</v>
      </c>
      <c r="I360" s="18">
        <v>119239.62000000001</v>
      </c>
      <c r="J360" s="18"/>
      <c r="K360" s="18">
        <v>244.25</v>
      </c>
      <c r="L360" s="19">
        <f>SUM(F360:K360)</f>
        <v>261254.65000000002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355190.63</v>
      </c>
      <c r="G362" s="47">
        <f t="shared" si="22"/>
        <v>82770.040000000008</v>
      </c>
      <c r="H362" s="47">
        <f t="shared" si="22"/>
        <v>16560.440000000002</v>
      </c>
      <c r="I362" s="47">
        <f t="shared" si="22"/>
        <v>314835.01</v>
      </c>
      <c r="J362" s="47">
        <f t="shared" si="22"/>
        <v>0</v>
      </c>
      <c r="K362" s="47">
        <f t="shared" si="22"/>
        <v>664</v>
      </c>
      <c r="L362" s="47">
        <f t="shared" si="22"/>
        <v>770020.12000000011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83856.240000000005</v>
      </c>
      <c r="G367" s="18">
        <v>97301.91</v>
      </c>
      <c r="H367" s="18">
        <v>111563.97</v>
      </c>
      <c r="I367" s="56">
        <f>SUM(F367:H367)</f>
        <v>292722.12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6411.5399999999991</v>
      </c>
      <c r="G368" s="63">
        <v>7252.84</v>
      </c>
      <c r="H368" s="63">
        <v>8448.51</v>
      </c>
      <c r="I368" s="56">
        <f>SUM(F368:H368)</f>
        <v>22112.89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90267.78</v>
      </c>
      <c r="G369" s="47">
        <f>SUM(G367:G368)</f>
        <v>104554.75</v>
      </c>
      <c r="H369" s="47">
        <f>SUM(H367:H368)</f>
        <v>120012.48</v>
      </c>
      <c r="I369" s="47">
        <f>SUM(I367:I368)</f>
        <v>314835.01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>
        <v>2049.96</v>
      </c>
      <c r="J389" s="24" t="s">
        <v>286</v>
      </c>
      <c r="K389" s="24" t="s">
        <v>286</v>
      </c>
      <c r="L389" s="56">
        <f t="shared" si="25"/>
        <v>2049.96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2049.96</v>
      </c>
      <c r="J393" s="45" t="s">
        <v>286</v>
      </c>
      <c r="K393" s="45" t="s">
        <v>286</v>
      </c>
      <c r="L393" s="47">
        <f>SUM(L387:L392)</f>
        <v>2049.96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18503</v>
      </c>
      <c r="H396" s="18"/>
      <c r="I396" s="18">
        <v>185.99</v>
      </c>
      <c r="J396" s="24" t="s">
        <v>286</v>
      </c>
      <c r="K396" s="24" t="s">
        <v>286</v>
      </c>
      <c r="L396" s="56">
        <f t="shared" si="26"/>
        <v>18688.990000000002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>
        <v>4582.3500000000004</v>
      </c>
      <c r="J397" s="24" t="s">
        <v>286</v>
      </c>
      <c r="K397" s="24" t="s">
        <v>286</v>
      </c>
      <c r="L397" s="56">
        <f t="shared" si="26"/>
        <v>4582.3500000000004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200000</v>
      </c>
      <c r="H400" s="18"/>
      <c r="I400" s="18">
        <f>4057.61+1306</f>
        <v>5363.6100000000006</v>
      </c>
      <c r="J400" s="24" t="s">
        <v>286</v>
      </c>
      <c r="K400" s="24" t="s">
        <v>286</v>
      </c>
      <c r="L400" s="56">
        <f t="shared" si="26"/>
        <v>205363.61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218503</v>
      </c>
      <c r="H401" s="47">
        <f>SUM(H395:H400)</f>
        <v>0</v>
      </c>
      <c r="I401" s="47">
        <f>SUM(I395:I400)</f>
        <v>10131.950000000001</v>
      </c>
      <c r="J401" s="45" t="s">
        <v>286</v>
      </c>
      <c r="K401" s="45" t="s">
        <v>286</v>
      </c>
      <c r="L401" s="47">
        <f>SUM(L395:L400)</f>
        <v>228634.94999999998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218503</v>
      </c>
      <c r="H408" s="47">
        <f>H393+H401+H407</f>
        <v>0</v>
      </c>
      <c r="I408" s="47">
        <f>I393+I401+I407</f>
        <v>12181.91</v>
      </c>
      <c r="J408" s="24" t="s">
        <v>286</v>
      </c>
      <c r="K408" s="24" t="s">
        <v>286</v>
      </c>
      <c r="L408" s="47">
        <f>L393+L401+L407</f>
        <v>230684.90999999997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18503</v>
      </c>
      <c r="L422" s="56">
        <f t="shared" si="29"/>
        <v>18503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11904.28</v>
      </c>
      <c r="L426" s="56">
        <f t="shared" si="29"/>
        <v>11904.28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30407.279999999999</v>
      </c>
      <c r="L427" s="47">
        <f t="shared" si="30"/>
        <v>30407.279999999999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30407.279999999999</v>
      </c>
      <c r="L434" s="47">
        <f t="shared" si="32"/>
        <v>30407.279999999999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252832.56</v>
      </c>
      <c r="G440" s="18">
        <v>1054820.1499999999</v>
      </c>
      <c r="H440" s="18"/>
      <c r="I440" s="56">
        <f t="shared" si="33"/>
        <v>1307652.71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252832.56</v>
      </c>
      <c r="G446" s="13">
        <f>SUM(G439:G445)</f>
        <v>1054820.1499999999</v>
      </c>
      <c r="H446" s="13">
        <f>SUM(H439:H445)</f>
        <v>0</v>
      </c>
      <c r="I446" s="13">
        <f>SUM(I439:I445)</f>
        <v>1307652.71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576</v>
      </c>
      <c r="H448" s="18"/>
      <c r="I448" s="56">
        <f>SUM(F448:H448)</f>
        <v>576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576</v>
      </c>
      <c r="H452" s="72">
        <f>SUM(H448:H451)</f>
        <v>0</v>
      </c>
      <c r="I452" s="72">
        <f>SUM(I448:I451)</f>
        <v>576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252832.56</v>
      </c>
      <c r="G459" s="18">
        <v>1054244.1499999999</v>
      </c>
      <c r="H459" s="18"/>
      <c r="I459" s="56">
        <f t="shared" si="34"/>
        <v>1307076.71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252832.56</v>
      </c>
      <c r="G460" s="83">
        <f>SUM(G454:G459)</f>
        <v>1054244.1499999999</v>
      </c>
      <c r="H460" s="83">
        <f>SUM(H454:H459)</f>
        <v>0</v>
      </c>
      <c r="I460" s="83">
        <f>SUM(I454:I459)</f>
        <v>1307076.71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252832.56</v>
      </c>
      <c r="G461" s="42">
        <f>G452+G460</f>
        <v>1054820.1499999999</v>
      </c>
      <c r="H461" s="42">
        <f>H452+H460</f>
        <v>0</v>
      </c>
      <c r="I461" s="42">
        <f>I452+I460</f>
        <v>1307652.71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906836.56</v>
      </c>
      <c r="G465" s="18">
        <v>18009.990000000002</v>
      </c>
      <c r="H465" s="18">
        <v>112087.9</v>
      </c>
      <c r="I465" s="18">
        <v>0</v>
      </c>
      <c r="J465" s="18">
        <v>1106799.08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42370478.200000003</v>
      </c>
      <c r="G468" s="18">
        <v>809538.2699999999</v>
      </c>
      <c r="H468" s="18">
        <v>713548.72</v>
      </c>
      <c r="I468" s="18">
        <v>0</v>
      </c>
      <c r="J468" s="18">
        <v>230684.91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42370478.200000003</v>
      </c>
      <c r="G470" s="53">
        <f>SUM(G468:G469)</f>
        <v>809538.2699999999</v>
      </c>
      <c r="H470" s="53">
        <f>SUM(H468:H469)</f>
        <v>713548.72</v>
      </c>
      <c r="I470" s="53">
        <f>SUM(I468:I469)</f>
        <v>0</v>
      </c>
      <c r="J470" s="53">
        <f>SUM(J468:J469)</f>
        <v>230684.91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42451085.919999994</v>
      </c>
      <c r="G472" s="18">
        <v>770020.12000000011</v>
      </c>
      <c r="H472" s="18">
        <v>732396.16999999993</v>
      </c>
      <c r="I472" s="18"/>
      <c r="J472" s="18">
        <v>30407.279999999999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42451085.919999994</v>
      </c>
      <c r="G474" s="53">
        <f>SUM(G472:G473)</f>
        <v>770020.12000000011</v>
      </c>
      <c r="H474" s="53">
        <f>SUM(H472:H473)</f>
        <v>732396.16999999993</v>
      </c>
      <c r="I474" s="53">
        <f>SUM(I472:I473)</f>
        <v>0</v>
      </c>
      <c r="J474" s="53">
        <f>SUM(J472:J473)</f>
        <v>30407.279999999999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826228.84000001103</v>
      </c>
      <c r="G476" s="53">
        <f>(G465+G470)- G474</f>
        <v>57528.139999999781</v>
      </c>
      <c r="H476" s="53">
        <f>(H465+H470)- H474</f>
        <v>93240.45000000007</v>
      </c>
      <c r="I476" s="53">
        <f>(I465+I470)- I474</f>
        <v>0</v>
      </c>
      <c r="J476" s="53">
        <f>(J465+J470)- J474</f>
        <v>1307076.71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>
        <v>20</v>
      </c>
      <c r="J490" s="154">
        <v>20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276" t="s">
        <v>916</v>
      </c>
      <c r="G491" s="155"/>
      <c r="H491" s="154"/>
      <c r="I491" s="275" t="s">
        <v>912</v>
      </c>
      <c r="J491" s="275" t="s">
        <v>913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276" t="s">
        <v>917</v>
      </c>
      <c r="G492" s="155"/>
      <c r="H492" s="154"/>
      <c r="I492" s="275" t="s">
        <v>915</v>
      </c>
      <c r="J492" s="275" t="s">
        <v>914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1500000</v>
      </c>
      <c r="G493" s="18"/>
      <c r="H493" s="18"/>
      <c r="I493" s="18">
        <v>2300000</v>
      </c>
      <c r="J493" s="18">
        <v>20406711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1.88</v>
      </c>
      <c r="G494" s="18"/>
      <c r="H494" s="18"/>
      <c r="I494" s="18">
        <v>4.22</v>
      </c>
      <c r="J494" s="18">
        <v>4.09</v>
      </c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1500000</v>
      </c>
      <c r="G495" s="18"/>
      <c r="H495" s="18"/>
      <c r="I495" s="18">
        <v>575000</v>
      </c>
      <c r="J495" s="18">
        <v>6120000</v>
      </c>
      <c r="K495" s="53">
        <f>SUM(F495:J495)</f>
        <v>8195000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150000</v>
      </c>
      <c r="G497" s="18"/>
      <c r="H497" s="18"/>
      <c r="I497" s="18">
        <v>115000</v>
      </c>
      <c r="J497" s="18">
        <v>1020000</v>
      </c>
      <c r="K497" s="53">
        <f t="shared" si="35"/>
        <v>1285000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1350000</v>
      </c>
      <c r="G498" s="204"/>
      <c r="H498" s="204"/>
      <c r="I498" s="204">
        <v>460000</v>
      </c>
      <c r="J498" s="204">
        <v>5100000</v>
      </c>
      <c r="K498" s="205">
        <f t="shared" si="35"/>
        <v>6910000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125161.65</v>
      </c>
      <c r="G499" s="18"/>
      <c r="H499" s="18"/>
      <c r="I499" s="18">
        <v>42837.5</v>
      </c>
      <c r="J499" s="18">
        <v>583950</v>
      </c>
      <c r="K499" s="53">
        <f t="shared" si="35"/>
        <v>751949.15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1475161.65</v>
      </c>
      <c r="G500" s="42">
        <f>SUM(G498:G499)</f>
        <v>0</v>
      </c>
      <c r="H500" s="42">
        <f>SUM(H498:H499)</f>
        <v>0</v>
      </c>
      <c r="I500" s="42">
        <f>SUM(I498:I499)</f>
        <v>502837.5</v>
      </c>
      <c r="J500" s="42">
        <f>SUM(J498:J499)</f>
        <v>5683950</v>
      </c>
      <c r="K500" s="42">
        <f t="shared" si="35"/>
        <v>7661949.1500000004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150000</v>
      </c>
      <c r="G501" s="204"/>
      <c r="H501" s="204"/>
      <c r="I501" s="204">
        <v>115000</v>
      </c>
      <c r="J501" s="204">
        <v>1020000</v>
      </c>
      <c r="K501" s="205">
        <f t="shared" si="35"/>
        <v>1285000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25032.33</v>
      </c>
      <c r="G502" s="18"/>
      <c r="H502" s="18"/>
      <c r="I502" s="18">
        <v>18658.75</v>
      </c>
      <c r="J502" s="18">
        <v>207570</v>
      </c>
      <c r="K502" s="53">
        <f t="shared" si="35"/>
        <v>251261.08000000002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175032.33000000002</v>
      </c>
      <c r="G503" s="42">
        <f>SUM(G501:G502)</f>
        <v>0</v>
      </c>
      <c r="H503" s="42">
        <f>SUM(H501:H502)</f>
        <v>0</v>
      </c>
      <c r="I503" s="42">
        <f>SUM(I501:I502)</f>
        <v>133658.75</v>
      </c>
      <c r="J503" s="42">
        <f>SUM(J501:J502)</f>
        <v>1227570</v>
      </c>
      <c r="K503" s="42">
        <f t="shared" si="35"/>
        <v>1536261.08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1283876.6399999999</v>
      </c>
      <c r="G521" s="18">
        <v>472717.97</v>
      </c>
      <c r="H521" s="18">
        <v>302318.56</v>
      </c>
      <c r="I521" s="18">
        <v>8215.2099999999991</v>
      </c>
      <c r="J521" s="18">
        <v>559.29999999999995</v>
      </c>
      <c r="K521" s="18">
        <v>4322.53</v>
      </c>
      <c r="L521" s="88">
        <f>SUM(F521:K521)</f>
        <v>2072010.21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1427530.97</v>
      </c>
      <c r="G522" s="18">
        <v>597225.30000000005</v>
      </c>
      <c r="H522" s="18">
        <v>238770.80000000002</v>
      </c>
      <c r="I522" s="18">
        <v>10569.9</v>
      </c>
      <c r="J522" s="18">
        <v>295.32</v>
      </c>
      <c r="K522" s="18">
        <v>4098.63</v>
      </c>
      <c r="L522" s="88">
        <f>SUM(F522:K522)</f>
        <v>2278490.9199999995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1455260.99</v>
      </c>
      <c r="G523" s="18">
        <v>664733.08000000007</v>
      </c>
      <c r="H523" s="18">
        <v>328133.55000000005</v>
      </c>
      <c r="I523" s="18">
        <v>10752.1</v>
      </c>
      <c r="J523" s="18">
        <v>0</v>
      </c>
      <c r="K523" s="18">
        <v>4932.04</v>
      </c>
      <c r="L523" s="88">
        <f>SUM(F523:K523)</f>
        <v>2463811.7600000002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4166668.5999999996</v>
      </c>
      <c r="G524" s="108">
        <f t="shared" ref="G524:L524" si="36">SUM(G521:G523)</f>
        <v>1734676.35</v>
      </c>
      <c r="H524" s="108">
        <f t="shared" si="36"/>
        <v>869222.91</v>
      </c>
      <c r="I524" s="108">
        <f t="shared" si="36"/>
        <v>29537.21</v>
      </c>
      <c r="J524" s="108">
        <f t="shared" si="36"/>
        <v>854.61999999999989</v>
      </c>
      <c r="K524" s="108">
        <f t="shared" si="36"/>
        <v>13353.2</v>
      </c>
      <c r="L524" s="89">
        <f t="shared" si="36"/>
        <v>6814312.8899999987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440669.9</v>
      </c>
      <c r="G526" s="18">
        <v>173437.01</v>
      </c>
      <c r="H526" s="18">
        <v>173039.29</v>
      </c>
      <c r="I526" s="18">
        <v>5719.2499999999991</v>
      </c>
      <c r="J526" s="18">
        <v>1114.44</v>
      </c>
      <c r="K526" s="18"/>
      <c r="L526" s="88">
        <f>SUM(F526:K526)</f>
        <v>793979.89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215040.3</v>
      </c>
      <c r="G527" s="18">
        <v>99622.680000000008</v>
      </c>
      <c r="H527" s="18">
        <v>170251.17</v>
      </c>
      <c r="I527" s="18">
        <v>2681.7200000000003</v>
      </c>
      <c r="J527" s="18">
        <v>3292.48</v>
      </c>
      <c r="K527" s="18"/>
      <c r="L527" s="88">
        <f>SUM(F527:K527)</f>
        <v>490888.35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261257.5</v>
      </c>
      <c r="G528" s="18">
        <v>108332.04</v>
      </c>
      <c r="H528" s="18">
        <v>201739.04</v>
      </c>
      <c r="I528" s="18">
        <v>2781.1699999999996</v>
      </c>
      <c r="J528" s="18">
        <v>1341.38</v>
      </c>
      <c r="K528" s="18"/>
      <c r="L528" s="88">
        <f>SUM(F528:K528)</f>
        <v>575451.13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916967.7</v>
      </c>
      <c r="G529" s="89">
        <f t="shared" ref="G529:L529" si="37">SUM(G526:G528)</f>
        <v>381391.73</v>
      </c>
      <c r="H529" s="89">
        <f t="shared" si="37"/>
        <v>545029.5</v>
      </c>
      <c r="I529" s="89">
        <f t="shared" si="37"/>
        <v>11182.14</v>
      </c>
      <c r="J529" s="89">
        <f t="shared" si="37"/>
        <v>5748.3</v>
      </c>
      <c r="K529" s="89">
        <f t="shared" si="37"/>
        <v>0</v>
      </c>
      <c r="L529" s="89">
        <f t="shared" si="37"/>
        <v>1860319.37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47231.72</v>
      </c>
      <c r="G531" s="18">
        <v>23380.44</v>
      </c>
      <c r="H531" s="18">
        <v>4777.18</v>
      </c>
      <c r="I531" s="18">
        <v>514.57000000000005</v>
      </c>
      <c r="J531" s="18">
        <v>0</v>
      </c>
      <c r="K531" s="18">
        <v>907.68</v>
      </c>
      <c r="L531" s="88">
        <f>SUM(F531:K531)</f>
        <v>76811.59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130976.18</v>
      </c>
      <c r="G532" s="18">
        <v>73344.210000000006</v>
      </c>
      <c r="H532" s="18">
        <v>4529.7299999999996</v>
      </c>
      <c r="I532" s="18">
        <v>487.91</v>
      </c>
      <c r="J532" s="18">
        <v>0</v>
      </c>
      <c r="K532" s="18">
        <v>860.66</v>
      </c>
      <c r="L532" s="88">
        <f>SUM(F532:K532)</f>
        <v>210198.69000000003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140082.73000000001</v>
      </c>
      <c r="G533" s="18">
        <v>77626.61</v>
      </c>
      <c r="H533" s="18">
        <v>5450.81</v>
      </c>
      <c r="I533" s="18">
        <v>587.12</v>
      </c>
      <c r="J533" s="18">
        <v>0</v>
      </c>
      <c r="K533" s="18">
        <v>1035.6600000000001</v>
      </c>
      <c r="L533" s="88">
        <f>SUM(F533:K533)</f>
        <v>224782.93000000002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318290.63</v>
      </c>
      <c r="G534" s="89">
        <f t="shared" ref="G534:L534" si="38">SUM(G531:G533)</f>
        <v>174351.26</v>
      </c>
      <c r="H534" s="89">
        <f t="shared" si="38"/>
        <v>14757.720000000001</v>
      </c>
      <c r="I534" s="89">
        <f t="shared" si="38"/>
        <v>1589.6</v>
      </c>
      <c r="J534" s="89">
        <f t="shared" si="38"/>
        <v>0</v>
      </c>
      <c r="K534" s="89">
        <f t="shared" si="38"/>
        <v>2804</v>
      </c>
      <c r="L534" s="89">
        <f t="shared" si="38"/>
        <v>511793.21000000008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4756.03</v>
      </c>
      <c r="I536" s="18"/>
      <c r="J536" s="18"/>
      <c r="K536" s="18"/>
      <c r="L536" s="88">
        <f>SUM(F536:K536)</f>
        <v>4756.03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4509.67</v>
      </c>
      <c r="I537" s="18"/>
      <c r="J537" s="18"/>
      <c r="K537" s="18"/>
      <c r="L537" s="88">
        <f>SUM(F537:K537)</f>
        <v>4509.67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5426.67</v>
      </c>
      <c r="I538" s="18"/>
      <c r="J538" s="18"/>
      <c r="K538" s="18"/>
      <c r="L538" s="88">
        <f>SUM(F538:K538)</f>
        <v>5426.67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14692.37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14692.37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69584.86</v>
      </c>
      <c r="G541" s="18">
        <v>43570.645000000004</v>
      </c>
      <c r="H541" s="18">
        <v>13476.995000000001</v>
      </c>
      <c r="I541" s="18">
        <v>9628.41</v>
      </c>
      <c r="J541" s="18">
        <v>44.980000000000004</v>
      </c>
      <c r="K541" s="18"/>
      <c r="L541" s="88">
        <f>SUM(F541:K541)</f>
        <v>136305.89000000001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34792.43</v>
      </c>
      <c r="G542" s="18">
        <v>21785.322500000002</v>
      </c>
      <c r="H542" s="18">
        <v>6738.4975000000004</v>
      </c>
      <c r="I542" s="18">
        <v>4814.2049999999999</v>
      </c>
      <c r="J542" s="18">
        <v>22.490000000000002</v>
      </c>
      <c r="K542" s="18"/>
      <c r="L542" s="88">
        <f>SUM(F542:K542)</f>
        <v>68152.945000000007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34792.43</v>
      </c>
      <c r="G543" s="18">
        <v>21785.322500000002</v>
      </c>
      <c r="H543" s="18">
        <v>6738.4875000000002</v>
      </c>
      <c r="I543" s="18">
        <v>4814.1949999999997</v>
      </c>
      <c r="J543" s="18">
        <v>22.490000000000002</v>
      </c>
      <c r="K543" s="18"/>
      <c r="L543" s="88">
        <f>SUM(F543:K543)</f>
        <v>68152.925000000003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139169.72</v>
      </c>
      <c r="G544" s="193">
        <f t="shared" ref="G544:L544" si="40">SUM(G541:G543)</f>
        <v>87141.290000000008</v>
      </c>
      <c r="H544" s="193">
        <f t="shared" si="40"/>
        <v>26953.98</v>
      </c>
      <c r="I544" s="193">
        <f t="shared" si="40"/>
        <v>19256.809999999998</v>
      </c>
      <c r="J544" s="193">
        <f t="shared" si="40"/>
        <v>89.960000000000008</v>
      </c>
      <c r="K544" s="193">
        <f t="shared" si="40"/>
        <v>0</v>
      </c>
      <c r="L544" s="193">
        <f t="shared" si="40"/>
        <v>272611.76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5541096.6499999994</v>
      </c>
      <c r="G545" s="89">
        <f t="shared" ref="G545:L545" si="41">G524+G529+G534+G539+G544</f>
        <v>2377560.63</v>
      </c>
      <c r="H545" s="89">
        <f t="shared" si="41"/>
        <v>1470656.4800000002</v>
      </c>
      <c r="I545" s="89">
        <f t="shared" si="41"/>
        <v>61565.759999999995</v>
      </c>
      <c r="J545" s="89">
        <f t="shared" si="41"/>
        <v>6692.88</v>
      </c>
      <c r="K545" s="89">
        <f t="shared" si="41"/>
        <v>16157.2</v>
      </c>
      <c r="L545" s="89">
        <f t="shared" si="41"/>
        <v>9473729.5999999978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2072010.21</v>
      </c>
      <c r="G549" s="87">
        <f>L526</f>
        <v>793979.89</v>
      </c>
      <c r="H549" s="87">
        <f>L531</f>
        <v>76811.59</v>
      </c>
      <c r="I549" s="87">
        <f>L536</f>
        <v>4756.03</v>
      </c>
      <c r="J549" s="87">
        <f>L541</f>
        <v>136305.89000000001</v>
      </c>
      <c r="K549" s="87">
        <f>SUM(F549:J549)</f>
        <v>3083863.61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2278490.9199999995</v>
      </c>
      <c r="G550" s="87">
        <f>L527</f>
        <v>490888.35</v>
      </c>
      <c r="H550" s="87">
        <f>L532</f>
        <v>210198.69000000003</v>
      </c>
      <c r="I550" s="87">
        <f>L537</f>
        <v>4509.67</v>
      </c>
      <c r="J550" s="87">
        <f>L542</f>
        <v>68152.945000000007</v>
      </c>
      <c r="K550" s="87">
        <f>SUM(F550:J550)</f>
        <v>3052240.5749999993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2463811.7600000002</v>
      </c>
      <c r="G551" s="87">
        <f>L528</f>
        <v>575451.13</v>
      </c>
      <c r="H551" s="87">
        <f>L533</f>
        <v>224782.93000000002</v>
      </c>
      <c r="I551" s="87">
        <f>L538</f>
        <v>5426.67</v>
      </c>
      <c r="J551" s="87">
        <f>L543</f>
        <v>68152.925000000003</v>
      </c>
      <c r="K551" s="87">
        <f>SUM(F551:J551)</f>
        <v>3337625.415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6814312.8899999987</v>
      </c>
      <c r="G552" s="89">
        <f t="shared" si="42"/>
        <v>1860319.37</v>
      </c>
      <c r="H552" s="89">
        <f t="shared" si="42"/>
        <v>511793.21000000008</v>
      </c>
      <c r="I552" s="89">
        <f t="shared" si="42"/>
        <v>14692.37</v>
      </c>
      <c r="J552" s="89">
        <f t="shared" si="42"/>
        <v>272611.76</v>
      </c>
      <c r="K552" s="89">
        <f t="shared" si="42"/>
        <v>9473729.5999999978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71948.37</v>
      </c>
      <c r="G562" s="18">
        <v>37906.350000000006</v>
      </c>
      <c r="H562" s="18">
        <v>65940.53</v>
      </c>
      <c r="I562" s="18">
        <v>233.39</v>
      </c>
      <c r="J562" s="18"/>
      <c r="K562" s="18"/>
      <c r="L562" s="88">
        <f>SUM(F562:K562)</f>
        <v>176028.64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>
        <v>25774.27</v>
      </c>
      <c r="I563" s="18"/>
      <c r="J563" s="18"/>
      <c r="K563" s="18"/>
      <c r="L563" s="88">
        <f>SUM(F563:K563)</f>
        <v>25774.27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>
        <v>25774.26</v>
      </c>
      <c r="I564" s="18"/>
      <c r="J564" s="18"/>
      <c r="K564" s="18"/>
      <c r="L564" s="88">
        <f>SUM(F564:K564)</f>
        <v>25774.26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71948.37</v>
      </c>
      <c r="G565" s="89">
        <f t="shared" si="44"/>
        <v>37906.350000000006</v>
      </c>
      <c r="H565" s="89">
        <f t="shared" si="44"/>
        <v>117489.06</v>
      </c>
      <c r="I565" s="89">
        <f t="shared" si="44"/>
        <v>233.39</v>
      </c>
      <c r="J565" s="89">
        <f t="shared" si="44"/>
        <v>0</v>
      </c>
      <c r="K565" s="89">
        <f t="shared" si="44"/>
        <v>0</v>
      </c>
      <c r="L565" s="89">
        <f t="shared" si="44"/>
        <v>227577.17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71948.37</v>
      </c>
      <c r="G571" s="89">
        <f t="shared" ref="G571:L571" si="46">G560+G565+G570</f>
        <v>37906.350000000006</v>
      </c>
      <c r="H571" s="89">
        <f t="shared" si="46"/>
        <v>117489.06</v>
      </c>
      <c r="I571" s="89">
        <f t="shared" si="46"/>
        <v>233.39</v>
      </c>
      <c r="J571" s="89">
        <f t="shared" si="46"/>
        <v>0</v>
      </c>
      <c r="K571" s="89">
        <f t="shared" si="46"/>
        <v>0</v>
      </c>
      <c r="L571" s="89">
        <f t="shared" si="46"/>
        <v>227577.17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>
        <v>8600</v>
      </c>
      <c r="H580" s="18"/>
      <c r="I580" s="87">
        <f t="shared" si="47"/>
        <v>8600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392503</v>
      </c>
      <c r="G582" s="18">
        <v>155577.04999999999</v>
      </c>
      <c r="H582" s="18">
        <v>79602.75</v>
      </c>
      <c r="I582" s="87">
        <f t="shared" si="47"/>
        <v>627682.80000000005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28922.63</v>
      </c>
      <c r="I584" s="87">
        <f t="shared" si="47"/>
        <v>28922.63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618125.78999999992</v>
      </c>
      <c r="I591" s="18">
        <v>318059.96999999997</v>
      </c>
      <c r="J591" s="18">
        <v>315019.94999999995</v>
      </c>
      <c r="K591" s="104">
        <f t="shared" ref="K591:K597" si="48">SUM(H591:J591)</f>
        <v>1251205.71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136305.89000000001</v>
      </c>
      <c r="I592" s="18">
        <v>68152.95</v>
      </c>
      <c r="J592" s="18">
        <v>68152.94</v>
      </c>
      <c r="K592" s="104">
        <f t="shared" si="48"/>
        <v>272611.78000000003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39746.410000000003</v>
      </c>
      <c r="K593" s="104">
        <f t="shared" si="48"/>
        <v>39746.410000000003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12717.33</v>
      </c>
      <c r="I594" s="18">
        <v>6358.66</v>
      </c>
      <c r="J594" s="18">
        <v>6358.66</v>
      </c>
      <c r="K594" s="104">
        <f t="shared" si="48"/>
        <v>25434.649999999998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17239.419999999998</v>
      </c>
      <c r="I595" s="18">
        <v>8100.1299999999992</v>
      </c>
      <c r="J595" s="18">
        <v>6085.98</v>
      </c>
      <c r="K595" s="104">
        <f t="shared" si="48"/>
        <v>31425.529999999995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24895.25</v>
      </c>
      <c r="I597" s="18">
        <v>12447.619999999999</v>
      </c>
      <c r="J597" s="18">
        <v>12447.630000000001</v>
      </c>
      <c r="K597" s="104">
        <f t="shared" si="48"/>
        <v>49790.5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809283.67999999993</v>
      </c>
      <c r="I598" s="108">
        <f>SUM(I591:I597)</f>
        <v>413119.32999999996</v>
      </c>
      <c r="J598" s="108">
        <f>SUM(J591:J597)</f>
        <v>447811.56999999989</v>
      </c>
      <c r="K598" s="108">
        <f>SUM(K591:K597)</f>
        <v>1670214.5799999998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73604.14</v>
      </c>
      <c r="I604" s="18">
        <v>93843.11</v>
      </c>
      <c r="J604" s="18">
        <v>128237.08000000002</v>
      </c>
      <c r="K604" s="104">
        <f>SUM(H604:J604)</f>
        <v>295684.33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73604.14</v>
      </c>
      <c r="I605" s="108">
        <f>SUM(I602:I604)</f>
        <v>93843.11</v>
      </c>
      <c r="J605" s="108">
        <f>SUM(J602:J604)</f>
        <v>128237.08000000002</v>
      </c>
      <c r="K605" s="108">
        <f>SUM(K602:K604)</f>
        <v>295684.33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50406.01</v>
      </c>
      <c r="G611" s="18">
        <v>6920.9499999999989</v>
      </c>
      <c r="H611" s="18">
        <v>13000</v>
      </c>
      <c r="I611" s="18">
        <v>162.57</v>
      </c>
      <c r="J611" s="18"/>
      <c r="K611" s="18"/>
      <c r="L611" s="88">
        <f>SUM(F611:K611)</f>
        <v>70489.53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49051.859999999993</v>
      </c>
      <c r="G612" s="18">
        <v>7468</v>
      </c>
      <c r="H612" s="18">
        <v>7088.39</v>
      </c>
      <c r="I612" s="18">
        <v>51</v>
      </c>
      <c r="J612" s="18"/>
      <c r="K612" s="18"/>
      <c r="L612" s="88">
        <f>SUM(F612:K612)</f>
        <v>63659.249999999993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30731.119999999999</v>
      </c>
      <c r="G613" s="18">
        <v>4141.6400000000003</v>
      </c>
      <c r="H613" s="18">
        <v>12547.85</v>
      </c>
      <c r="I613" s="18">
        <v>264.33999999999997</v>
      </c>
      <c r="J613" s="18"/>
      <c r="K613" s="18"/>
      <c r="L613" s="88">
        <f>SUM(F613:K613)</f>
        <v>47684.95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130188.98999999999</v>
      </c>
      <c r="G614" s="108">
        <f t="shared" si="49"/>
        <v>18530.59</v>
      </c>
      <c r="H614" s="108">
        <f t="shared" si="49"/>
        <v>32636.239999999998</v>
      </c>
      <c r="I614" s="108">
        <f t="shared" si="49"/>
        <v>477.90999999999997</v>
      </c>
      <c r="J614" s="108">
        <f t="shared" si="49"/>
        <v>0</v>
      </c>
      <c r="K614" s="108">
        <f t="shared" si="49"/>
        <v>0</v>
      </c>
      <c r="L614" s="89">
        <f t="shared" si="49"/>
        <v>181833.72999999998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2995881.1700000004</v>
      </c>
      <c r="H617" s="109">
        <f>SUM(F52)</f>
        <v>2995881.17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93224.65</v>
      </c>
      <c r="H618" s="109">
        <f>SUM(G52)</f>
        <v>93224.65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166208.46</v>
      </c>
      <c r="H619" s="109">
        <f>SUM(H52)</f>
        <v>166208.46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1307652.71</v>
      </c>
      <c r="H621" s="109">
        <f>SUM(J52)</f>
        <v>1307652.71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826228.83999999985</v>
      </c>
      <c r="H622" s="109">
        <f>F476</f>
        <v>826228.84000001103</v>
      </c>
      <c r="I622" s="121" t="s">
        <v>101</v>
      </c>
      <c r="J622" s="109">
        <f t="shared" ref="J622:J655" si="50">G622-H622</f>
        <v>-1.1175870895385742E-8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57528.14</v>
      </c>
      <c r="H623" s="109">
        <f>G476</f>
        <v>57528.139999999781</v>
      </c>
      <c r="I623" s="121" t="s">
        <v>102</v>
      </c>
      <c r="J623" s="109">
        <f t="shared" si="50"/>
        <v>2.1827872842550278E-10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93240.45</v>
      </c>
      <c r="H624" s="109">
        <f>H476</f>
        <v>93240.45000000007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1307076.71</v>
      </c>
      <c r="H626" s="109">
        <f>J476</f>
        <v>1307076.71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42370478.200000003</v>
      </c>
      <c r="H627" s="104">
        <f>SUM(F468)</f>
        <v>42370478.200000003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809538.2699999999</v>
      </c>
      <c r="H628" s="104">
        <f>SUM(G468)</f>
        <v>809538.2699999999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713548.72</v>
      </c>
      <c r="H629" s="104">
        <f>SUM(H468)</f>
        <v>713548.72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230684.91</v>
      </c>
      <c r="H631" s="104">
        <f>SUM(J468)</f>
        <v>230684.91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42451085.920000002</v>
      </c>
      <c r="H632" s="104">
        <f>SUM(F472)</f>
        <v>42451085.919999994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732396.16999999993</v>
      </c>
      <c r="H633" s="104">
        <f>SUM(H472)</f>
        <v>732396.16999999993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314835.01</v>
      </c>
      <c r="H634" s="104">
        <f>I369</f>
        <v>314835.01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770020.12000000011</v>
      </c>
      <c r="H635" s="104">
        <f>SUM(G472)</f>
        <v>770020.12000000011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230684.90999999997</v>
      </c>
      <c r="H637" s="164">
        <f>SUM(J468)</f>
        <v>230684.91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30407.279999999999</v>
      </c>
      <c r="H638" s="164">
        <f>SUM(J472)</f>
        <v>30407.279999999999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252832.56</v>
      </c>
      <c r="H639" s="104">
        <f>SUM(F461)</f>
        <v>252832.56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1054820.1499999999</v>
      </c>
      <c r="H640" s="104">
        <f>SUM(G461)</f>
        <v>1054820.1499999999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1307652.71</v>
      </c>
      <c r="H642" s="104">
        <f>SUM(I461)</f>
        <v>1307652.71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218503</v>
      </c>
      <c r="H645" s="104">
        <f>G408</f>
        <v>218503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230684.91</v>
      </c>
      <c r="H646" s="104">
        <f>L408</f>
        <v>230684.90999999997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1670214.5799999998</v>
      </c>
      <c r="H647" s="104">
        <f>L208+L226+L244</f>
        <v>1670214.58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295684.33</v>
      </c>
      <c r="H648" s="104">
        <f>(J257+J338)-(J255+J336)</f>
        <v>295684.33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809283.68</v>
      </c>
      <c r="H649" s="104">
        <f>H598</f>
        <v>809283.67999999993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413119.33</v>
      </c>
      <c r="H650" s="104">
        <f>I598</f>
        <v>413119.32999999996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447811.57</v>
      </c>
      <c r="H651" s="104">
        <f>J598</f>
        <v>447811.56999999989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218503</v>
      </c>
      <c r="H655" s="104">
        <f>K266+K347</f>
        <v>218503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14426712.695000004</v>
      </c>
      <c r="G660" s="19">
        <f>(L229+L309+L359)</f>
        <v>12285235.855</v>
      </c>
      <c r="H660" s="19">
        <f>(L247+L328+L360)</f>
        <v>15426709.190000001</v>
      </c>
      <c r="I660" s="19">
        <f>SUM(F660:H660)</f>
        <v>42138657.74000001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213441.43040152924</v>
      </c>
      <c r="G661" s="19">
        <f>(L359/IF(SUM(L358:L360)=0,1,SUM(L358:L360))*(SUM(G97:G110)))</f>
        <v>244608.29264349403</v>
      </c>
      <c r="H661" s="19">
        <f>(L360/IF(SUM(L358:L360)=0,1,SUM(L358:L360))*(SUM(G97:G110)))</f>
        <v>235211.75695497671</v>
      </c>
      <c r="I661" s="19">
        <f>SUM(F661:H661)</f>
        <v>693261.48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799020.2300000001</v>
      </c>
      <c r="G662" s="19">
        <f>(L226+L306)-(J226+J306)</f>
        <v>407987.60000000003</v>
      </c>
      <c r="H662" s="19">
        <f>(L244+L325)-(J244+J325)</f>
        <v>442679.85000000003</v>
      </c>
      <c r="I662" s="19">
        <f>SUM(F662:H662)</f>
        <v>1649687.6800000002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536596.67000000004</v>
      </c>
      <c r="G663" s="199">
        <f>SUM(G575:G587)+SUM(I602:I604)+L612</f>
        <v>321679.40999999997</v>
      </c>
      <c r="H663" s="199">
        <f>SUM(H575:H587)+SUM(J602:J604)+L613</f>
        <v>284447.41000000003</v>
      </c>
      <c r="I663" s="19">
        <f>SUM(F663:H663)</f>
        <v>1142723.4900000002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12877654.364598475</v>
      </c>
      <c r="G664" s="19">
        <f>G660-SUM(G661:G663)</f>
        <v>11310960.552356506</v>
      </c>
      <c r="H664" s="19">
        <f>H660-SUM(H661:H663)</f>
        <v>14464370.173045024</v>
      </c>
      <c r="I664" s="19">
        <f>I660-SUM(I661:I663)</f>
        <v>38652985.090000011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699.08</v>
      </c>
      <c r="G665" s="248">
        <v>663.19</v>
      </c>
      <c r="H665" s="248">
        <v>783.79</v>
      </c>
      <c r="I665" s="19">
        <f>SUM(F665:H665)</f>
        <v>2146.06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18420.86</v>
      </c>
      <c r="G667" s="19">
        <f>ROUND(G664/G665,2)</f>
        <v>17055.38</v>
      </c>
      <c r="H667" s="19">
        <f>ROUND(H664/H665,2)</f>
        <v>18454.39</v>
      </c>
      <c r="I667" s="19">
        <f>ROUND(I664/I665,2)</f>
        <v>18011.14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-10.45</v>
      </c>
      <c r="I670" s="19">
        <f>SUM(F670:H670)</f>
        <v>-10.45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18420.86</v>
      </c>
      <c r="G672" s="19">
        <f>ROUND((G664+G669)/(G665+G670),2)</f>
        <v>17055.38</v>
      </c>
      <c r="H672" s="19">
        <f>ROUND((H664+H669)/(H665+H670),2)</f>
        <v>18703.77</v>
      </c>
      <c r="I672" s="19">
        <f>ROUND((I664+I669)/(I665+I670),2)</f>
        <v>18099.27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56" sqref="C5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Oyster River Coop</v>
      </c>
      <c r="C1" s="238" t="s">
        <v>833</v>
      </c>
    </row>
    <row r="2" spans="1:3" x14ac:dyDescent="0.2">
      <c r="A2" s="233"/>
      <c r="B2" s="232"/>
    </row>
    <row r="3" spans="1:3" x14ac:dyDescent="0.2">
      <c r="A3" s="280" t="s">
        <v>778</v>
      </c>
      <c r="B3" s="280"/>
      <c r="C3" s="280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777</v>
      </c>
      <c r="C6" s="279"/>
    </row>
    <row r="7" spans="1:3" x14ac:dyDescent="0.2">
      <c r="A7" s="239" t="s">
        <v>780</v>
      </c>
      <c r="B7" s="277" t="s">
        <v>776</v>
      </c>
      <c r="C7" s="278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11887682.74</v>
      </c>
      <c r="C9" s="229">
        <f>'DOE25'!G197+'DOE25'!G215+'DOE25'!G233+'DOE25'!G276+'DOE25'!G295+'DOE25'!G314</f>
        <v>5476839.7999999989</v>
      </c>
    </row>
    <row r="10" spans="1:3" x14ac:dyDescent="0.2">
      <c r="A10" t="s">
        <v>773</v>
      </c>
      <c r="B10" s="240">
        <v>10923369.34</v>
      </c>
      <c r="C10" s="240">
        <v>5032565.66</v>
      </c>
    </row>
    <row r="11" spans="1:3" x14ac:dyDescent="0.2">
      <c r="A11" t="s">
        <v>774</v>
      </c>
      <c r="B11" s="240">
        <v>264209.21999999997</v>
      </c>
      <c r="C11" s="240">
        <v>121725.29</v>
      </c>
    </row>
    <row r="12" spans="1:3" x14ac:dyDescent="0.2">
      <c r="A12" t="s">
        <v>775</v>
      </c>
      <c r="B12" s="240">
        <v>700104.17999999993</v>
      </c>
      <c r="C12" s="240">
        <v>322548.84999999998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11887682.74</v>
      </c>
      <c r="C13" s="231">
        <f>SUM(C10:C12)</f>
        <v>5476839.7999999998</v>
      </c>
    </row>
    <row r="14" spans="1:3" x14ac:dyDescent="0.2">
      <c r="B14" s="230"/>
      <c r="C14" s="230"/>
    </row>
    <row r="15" spans="1:3" x14ac:dyDescent="0.2">
      <c r="B15" s="279" t="s">
        <v>777</v>
      </c>
      <c r="C15" s="279"/>
    </row>
    <row r="16" spans="1:3" x14ac:dyDescent="0.2">
      <c r="A16" s="239" t="s">
        <v>781</v>
      </c>
      <c r="B16" s="277" t="s">
        <v>701</v>
      </c>
      <c r="C16" s="278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4144932.83</v>
      </c>
      <c r="C18" s="229">
        <f>'DOE25'!G198+'DOE25'!G216+'DOE25'!G234+'DOE25'!G277+'DOE25'!G296+'DOE25'!G315</f>
        <v>1758882.2399999998</v>
      </c>
    </row>
    <row r="19" spans="1:3" x14ac:dyDescent="0.2">
      <c r="A19" t="s">
        <v>773</v>
      </c>
      <c r="B19" s="240">
        <v>2332301.83</v>
      </c>
      <c r="C19" s="240">
        <v>989701.02</v>
      </c>
    </row>
    <row r="20" spans="1:3" x14ac:dyDescent="0.2">
      <c r="A20" t="s">
        <v>774</v>
      </c>
      <c r="B20" s="240">
        <v>1675479.03</v>
      </c>
      <c r="C20" s="240">
        <v>710981.44</v>
      </c>
    </row>
    <row r="21" spans="1:3" x14ac:dyDescent="0.2">
      <c r="A21" t="s">
        <v>775</v>
      </c>
      <c r="B21" s="240">
        <v>137151.97</v>
      </c>
      <c r="C21" s="240">
        <v>58199.78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4144932.8300000005</v>
      </c>
      <c r="C22" s="231">
        <f>SUM(C19:C21)</f>
        <v>1758882.24</v>
      </c>
    </row>
    <row r="23" spans="1:3" x14ac:dyDescent="0.2">
      <c r="B23" s="230"/>
      <c r="C23" s="230"/>
    </row>
    <row r="24" spans="1:3" x14ac:dyDescent="0.2">
      <c r="B24" s="279" t="s">
        <v>777</v>
      </c>
      <c r="C24" s="279"/>
    </row>
    <row r="25" spans="1:3" x14ac:dyDescent="0.2">
      <c r="A25" s="239" t="s">
        <v>782</v>
      </c>
      <c r="B25" s="277" t="s">
        <v>702</v>
      </c>
      <c r="C25" s="278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777</v>
      </c>
      <c r="C33" s="279"/>
    </row>
    <row r="34" spans="1:3" x14ac:dyDescent="0.2">
      <c r="A34" s="239" t="s">
        <v>783</v>
      </c>
      <c r="B34" s="277" t="s">
        <v>703</v>
      </c>
      <c r="C34" s="278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488692.88</v>
      </c>
      <c r="C36" s="235">
        <f>'DOE25'!G200+'DOE25'!G218+'DOE25'!G236+'DOE25'!G279+'DOE25'!G298+'DOE25'!G317</f>
        <v>81982.679999999993</v>
      </c>
    </row>
    <row r="37" spans="1:3" x14ac:dyDescent="0.2">
      <c r="A37" t="s">
        <v>773</v>
      </c>
      <c r="B37" s="240">
        <v>324316.75000000006</v>
      </c>
      <c r="C37" s="240">
        <v>54407.079999999994</v>
      </c>
    </row>
    <row r="38" spans="1:3" x14ac:dyDescent="0.2">
      <c r="A38" t="s">
        <v>774</v>
      </c>
      <c r="B38" s="240">
        <v>43685.83</v>
      </c>
      <c r="C38" s="240">
        <v>7328.7</v>
      </c>
    </row>
    <row r="39" spans="1:3" x14ac:dyDescent="0.2">
      <c r="A39" t="s">
        <v>775</v>
      </c>
      <c r="B39" s="240">
        <v>120690.3</v>
      </c>
      <c r="C39" s="240">
        <v>20246.900000000001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488692.88000000006</v>
      </c>
      <c r="C40" s="231">
        <f>SUM(C37:C39)</f>
        <v>81982.679999999993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21" sqref="F2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784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711</v>
      </c>
      <c r="B2" s="265" t="str">
        <f>'DOE25'!A2</f>
        <v>Oyster River Coop</v>
      </c>
      <c r="C2" s="181"/>
      <c r="D2" s="181" t="s">
        <v>786</v>
      </c>
      <c r="E2" s="181" t="s">
        <v>788</v>
      </c>
      <c r="F2" s="281" t="s">
        <v>815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25048080.82</v>
      </c>
      <c r="D5" s="20">
        <f>SUM('DOE25'!L197:L200)+SUM('DOE25'!L215:L218)+SUM('DOE25'!L233:L236)-F5-G5</f>
        <v>24907693.600000001</v>
      </c>
      <c r="E5" s="243"/>
      <c r="F5" s="255">
        <f>SUM('DOE25'!J197:J200)+SUM('DOE25'!J215:J218)+SUM('DOE25'!J233:J236)</f>
        <v>79173.13</v>
      </c>
      <c r="G5" s="53">
        <f>SUM('DOE25'!K197:K200)+SUM('DOE25'!K215:K218)+SUM('DOE25'!K233:K236)</f>
        <v>61214.09</v>
      </c>
      <c r="H5" s="259"/>
    </row>
    <row r="6" spans="1:9" x14ac:dyDescent="0.2">
      <c r="A6" s="32">
        <v>2100</v>
      </c>
      <c r="B6" t="s">
        <v>795</v>
      </c>
      <c r="C6" s="245">
        <f t="shared" si="0"/>
        <v>3775700.37</v>
      </c>
      <c r="D6" s="20">
        <f>'DOE25'!L202+'DOE25'!L220+'DOE25'!L238-F6-G6</f>
        <v>3769893.0700000003</v>
      </c>
      <c r="E6" s="243"/>
      <c r="F6" s="255">
        <f>'DOE25'!J202+'DOE25'!J220+'DOE25'!J238</f>
        <v>5807.3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929700.75999999989</v>
      </c>
      <c r="D7" s="20">
        <f>'DOE25'!L203+'DOE25'!L221+'DOE25'!L239-F7-G7</f>
        <v>904043.39999999991</v>
      </c>
      <c r="E7" s="243"/>
      <c r="F7" s="255">
        <f>'DOE25'!J203+'DOE25'!J221+'DOE25'!J239</f>
        <v>25657.360000000001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596901.75</v>
      </c>
      <c r="D8" s="243"/>
      <c r="E8" s="20">
        <f>'DOE25'!L204+'DOE25'!L222+'DOE25'!L240-F8-G8-D9-D11</f>
        <v>568643.02</v>
      </c>
      <c r="F8" s="255">
        <f>'DOE25'!J204+'DOE25'!J222+'DOE25'!J240</f>
        <v>0</v>
      </c>
      <c r="G8" s="53">
        <f>'DOE25'!K204+'DOE25'!K222+'DOE25'!K240</f>
        <v>28258.730000000003</v>
      </c>
      <c r="H8" s="259"/>
    </row>
    <row r="9" spans="1:9" x14ac:dyDescent="0.2">
      <c r="A9" s="32">
        <v>2310</v>
      </c>
      <c r="B9" t="s">
        <v>812</v>
      </c>
      <c r="C9" s="245">
        <f t="shared" si="0"/>
        <v>114049.52</v>
      </c>
      <c r="D9" s="244">
        <v>114049.52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22500</v>
      </c>
      <c r="D10" s="243"/>
      <c r="E10" s="244">
        <v>22500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561417.71</v>
      </c>
      <c r="D11" s="244">
        <v>561417.71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1766207.98</v>
      </c>
      <c r="D12" s="20">
        <f>'DOE25'!L205+'DOE25'!L223+'DOE25'!L241-F12-G12</f>
        <v>1758050.98</v>
      </c>
      <c r="E12" s="243"/>
      <c r="F12" s="255">
        <f>'DOE25'!J205+'DOE25'!J223+'DOE25'!J241</f>
        <v>1205</v>
      </c>
      <c r="G12" s="53">
        <f>'DOE25'!K205+'DOE25'!K223+'DOE25'!K241</f>
        <v>6952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592014.53</v>
      </c>
      <c r="D13" s="243"/>
      <c r="E13" s="20">
        <f>'DOE25'!L206+'DOE25'!L224+'DOE25'!L242-F13-G13</f>
        <v>589923.80000000005</v>
      </c>
      <c r="F13" s="255">
        <f>'DOE25'!J206+'DOE25'!J224+'DOE25'!J242</f>
        <v>0</v>
      </c>
      <c r="G13" s="53">
        <f>'DOE25'!K206+'DOE25'!K224+'DOE25'!K242</f>
        <v>2090.73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4300552.75</v>
      </c>
      <c r="D14" s="20">
        <f>'DOE25'!L207+'DOE25'!L225+'DOE25'!L243-F14-G14</f>
        <v>4261697.59</v>
      </c>
      <c r="E14" s="243"/>
      <c r="F14" s="255">
        <f>'DOE25'!J207+'DOE25'!J225+'DOE25'!J243</f>
        <v>38855.160000000003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1670214.58</v>
      </c>
      <c r="D15" s="20">
        <f>'DOE25'!L208+'DOE25'!L226+'DOE25'!L244-F15-G15</f>
        <v>1647590.6300000001</v>
      </c>
      <c r="E15" s="243"/>
      <c r="F15" s="255">
        <f>'DOE25'!J208+'DOE25'!J226+'DOE25'!J244</f>
        <v>20526.900000000001</v>
      </c>
      <c r="G15" s="53">
        <f>'DOE25'!K208+'DOE25'!K226+'DOE25'!K244</f>
        <v>2097.0500000000002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1289054.6499999999</v>
      </c>
      <c r="D16" s="243"/>
      <c r="E16" s="20">
        <f>'DOE25'!L209+'DOE25'!L227+'DOE25'!L245-F16-G16</f>
        <v>1204570.1099999999</v>
      </c>
      <c r="F16" s="255">
        <f>'DOE25'!J209+'DOE25'!J227+'DOE25'!J245</f>
        <v>78761.289999999994</v>
      </c>
      <c r="G16" s="53">
        <f>'DOE25'!K209+'DOE25'!K227+'DOE25'!K245</f>
        <v>5723.25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7653.97</v>
      </c>
      <c r="D22" s="243"/>
      <c r="E22" s="243"/>
      <c r="F22" s="255">
        <f>'DOE25'!L255+'DOE25'!L336</f>
        <v>7653.97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1588687.5</v>
      </c>
      <c r="D25" s="243"/>
      <c r="E25" s="243"/>
      <c r="F25" s="258"/>
      <c r="G25" s="256"/>
      <c r="H25" s="257">
        <f>'DOE25'!L260+'DOE25'!L261+'DOE25'!L341+'DOE25'!L342</f>
        <v>1588687.5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477298.00000000012</v>
      </c>
      <c r="D29" s="20">
        <f>'DOE25'!L358+'DOE25'!L359+'DOE25'!L360-'DOE25'!I367-F29-G29</f>
        <v>476634.00000000012</v>
      </c>
      <c r="E29" s="243"/>
      <c r="F29" s="255">
        <f>'DOE25'!J358+'DOE25'!J359+'DOE25'!J360</f>
        <v>0</v>
      </c>
      <c r="G29" s="53">
        <f>'DOE25'!K358+'DOE25'!K359+'DOE25'!K360</f>
        <v>664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724742.2</v>
      </c>
      <c r="D31" s="20">
        <f>'DOE25'!L290+'DOE25'!L309+'DOE25'!L328+'DOE25'!L333+'DOE25'!L334+'DOE25'!L335-F31-G31</f>
        <v>679044.01</v>
      </c>
      <c r="E31" s="243"/>
      <c r="F31" s="255">
        <f>'DOE25'!J290+'DOE25'!J309+'DOE25'!J328+'DOE25'!J333+'DOE25'!J334+'DOE25'!J335</f>
        <v>45698.19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39080114.510000005</v>
      </c>
      <c r="E33" s="246">
        <f>SUM(E5:E31)</f>
        <v>2385636.9299999997</v>
      </c>
      <c r="F33" s="246">
        <f>SUM(F5:F31)</f>
        <v>303338.30000000005</v>
      </c>
      <c r="G33" s="246">
        <f>SUM(G5:G31)</f>
        <v>106999.85</v>
      </c>
      <c r="H33" s="246">
        <f>SUM(H5:H31)</f>
        <v>1588687.5</v>
      </c>
    </row>
    <row r="35" spans="2:8" ht="12" thickBot="1" x14ac:dyDescent="0.25">
      <c r="B35" s="253" t="s">
        <v>841</v>
      </c>
      <c r="D35" s="254">
        <f>E33</f>
        <v>2385636.9299999997</v>
      </c>
      <c r="E35" s="249"/>
    </row>
    <row r="36" spans="2:8" ht="12" thickTop="1" x14ac:dyDescent="0.2">
      <c r="B36" t="s">
        <v>809</v>
      </c>
      <c r="D36" s="20">
        <f>D33</f>
        <v>39080114.510000005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9" activePane="bottomLeft" state="frozen"/>
      <selection activeCell="F46" sqref="F46"/>
      <selection pane="bottomLeft" activeCell="B46" sqref="B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Oyster River Coop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1943569.57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1307652.71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908253.88</v>
      </c>
      <c r="D11" s="95">
        <f>'DOE25'!G12</f>
        <v>67384.94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3975</v>
      </c>
      <c r="D13" s="95">
        <f>'DOE25'!G14</f>
        <v>25839.71</v>
      </c>
      <c r="E13" s="95">
        <f>'DOE25'!H14</f>
        <v>166208.46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140082.72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2995881.1700000004</v>
      </c>
      <c r="D18" s="41">
        <f>SUM(D8:D17)</f>
        <v>93224.65</v>
      </c>
      <c r="E18" s="41">
        <f>SUM(E8:E17)</f>
        <v>166208.46</v>
      </c>
      <c r="F18" s="41">
        <f>SUM(F8:F17)</f>
        <v>0</v>
      </c>
      <c r="G18" s="41">
        <f>SUM(G8:G17)</f>
        <v>1307652.71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903794.81</v>
      </c>
      <c r="D21" s="95">
        <f>'DOE25'!G22</f>
        <v>0</v>
      </c>
      <c r="E21" s="95">
        <f>'DOE25'!H22</f>
        <v>71268.009999999995</v>
      </c>
      <c r="F21" s="95">
        <f>'DOE25'!I22</f>
        <v>0</v>
      </c>
      <c r="G21" s="95">
        <f>'DOE25'!J22</f>
        <v>576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392312.24</v>
      </c>
      <c r="D23" s="95">
        <f>'DOE25'!G24</f>
        <v>252.03</v>
      </c>
      <c r="E23" s="95">
        <f>'DOE25'!H24</f>
        <v>1700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873545.28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35444.480000000003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2169652.33</v>
      </c>
      <c r="D31" s="41">
        <f>SUM(D21:D30)</f>
        <v>35696.51</v>
      </c>
      <c r="E31" s="41">
        <f>SUM(E21:E30)</f>
        <v>72968.009999999995</v>
      </c>
      <c r="F31" s="41">
        <f>SUM(F21:F30)</f>
        <v>0</v>
      </c>
      <c r="G31" s="41">
        <f>SUM(G21:G30)</f>
        <v>576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140082.72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57528.14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43304.52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350000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93240.45</v>
      </c>
      <c r="F47" s="95">
        <f>'DOE25'!I48</f>
        <v>0</v>
      </c>
      <c r="G47" s="95">
        <f>'DOE25'!J48</f>
        <v>1307076.71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292841.59999999992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826228.83999999985</v>
      </c>
      <c r="D50" s="41">
        <f>SUM(D34:D49)</f>
        <v>57528.14</v>
      </c>
      <c r="E50" s="41">
        <f>SUM(E34:E49)</f>
        <v>93240.45</v>
      </c>
      <c r="F50" s="41">
        <f>SUM(F34:F49)</f>
        <v>0</v>
      </c>
      <c r="G50" s="41">
        <f>SUM(G34:G49)</f>
        <v>1307076.71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2995881.17</v>
      </c>
      <c r="D51" s="41">
        <f>D50+D31</f>
        <v>93224.65</v>
      </c>
      <c r="E51" s="41">
        <f>E50+E31</f>
        <v>166208.46</v>
      </c>
      <c r="F51" s="41">
        <f>F50+F31</f>
        <v>0</v>
      </c>
      <c r="G51" s="41">
        <f>G50+G31</f>
        <v>1307652.71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30316332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2246046.7999999998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3387.19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7101.01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693261.48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50716.03</v>
      </c>
      <c r="D61" s="95">
        <f>SUM('DOE25'!G98:G110)</f>
        <v>0</v>
      </c>
      <c r="E61" s="95">
        <f>SUM('DOE25'!H98:H110)</f>
        <v>88001.72</v>
      </c>
      <c r="F61" s="95">
        <f>SUM('DOE25'!I98:I110)</f>
        <v>0</v>
      </c>
      <c r="G61" s="95">
        <f>SUM('DOE25'!J98:J110)</f>
        <v>12181.91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2307251.0299999993</v>
      </c>
      <c r="D62" s="130">
        <f>SUM(D57:D61)</f>
        <v>693261.48</v>
      </c>
      <c r="E62" s="130">
        <f>SUM(E57:E61)</f>
        <v>88001.72</v>
      </c>
      <c r="F62" s="130">
        <f>SUM(F57:F61)</f>
        <v>0</v>
      </c>
      <c r="G62" s="130">
        <f>SUM(G57:G61)</f>
        <v>12181.91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32623583.030000001</v>
      </c>
      <c r="D63" s="22">
        <f>D56+D62</f>
        <v>693261.48</v>
      </c>
      <c r="E63" s="22">
        <f>E56+E62</f>
        <v>88001.72</v>
      </c>
      <c r="F63" s="22">
        <f>F56+F62</f>
        <v>0</v>
      </c>
      <c r="G63" s="22">
        <f>G56+G62</f>
        <v>12181.91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4888323.67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3842252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10876.05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8741451.7200000007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523742.09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113058.01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2773.6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7554.21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639573.69999999995</v>
      </c>
      <c r="D78" s="130">
        <f>SUM(D72:D77)</f>
        <v>7554.21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9381025.4199999999</v>
      </c>
      <c r="D81" s="130">
        <f>SUM(D79:D80)+D78+D70</f>
        <v>7554.21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347366.75</v>
      </c>
      <c r="D88" s="95">
        <f>SUM('DOE25'!G153:G161)</f>
        <v>108722.58</v>
      </c>
      <c r="E88" s="95">
        <f>SUM('DOE25'!H153:H161)</f>
        <v>625547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347366.75</v>
      </c>
      <c r="D91" s="131">
        <f>SUM(D85:D90)</f>
        <v>108722.58</v>
      </c>
      <c r="E91" s="131">
        <f>SUM(E85:E90)</f>
        <v>625547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752</v>
      </c>
      <c r="B97" s="32" t="s">
        <v>188</v>
      </c>
      <c r="C97" s="95">
        <f>SUM('DOE25'!F180:F181)</f>
        <v>18503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18503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18503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218503</v>
      </c>
    </row>
    <row r="104" spans="1:7" ht="12.75" thickTop="1" thickBot="1" x14ac:dyDescent="0.25">
      <c r="A104" s="33" t="s">
        <v>759</v>
      </c>
      <c r="C104" s="86">
        <f>C63+C81+C91+C103</f>
        <v>42370478.200000003</v>
      </c>
      <c r="D104" s="86">
        <f>D63+D81+D91+D103</f>
        <v>809538.2699999999</v>
      </c>
      <c r="E104" s="86">
        <f>E63+E81+E91+E103</f>
        <v>713548.72</v>
      </c>
      <c r="F104" s="86">
        <f>F63+F81+F91+F103</f>
        <v>0</v>
      </c>
      <c r="G104" s="86">
        <f>G63+G81+G103</f>
        <v>230684.91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17830793.359999999</v>
      </c>
      <c r="D109" s="24" t="s">
        <v>286</v>
      </c>
      <c r="E109" s="95">
        <f>('DOE25'!L276)+('DOE25'!L295)+('DOE25'!L314)</f>
        <v>121237.31000000001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6423896.7599999988</v>
      </c>
      <c r="D110" s="24" t="s">
        <v>286</v>
      </c>
      <c r="E110" s="95">
        <f>('DOE25'!L277)+('DOE25'!L296)+('DOE25'!L315)</f>
        <v>477494.54000000004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28922.63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764468.07000000007</v>
      </c>
      <c r="D112" s="24" t="s">
        <v>286</v>
      </c>
      <c r="E112" s="95">
        <f>+('DOE25'!L279)+('DOE25'!L298)+('DOE25'!L317)</f>
        <v>31649.089999999997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25048080.819999997</v>
      </c>
      <c r="D115" s="86">
        <f>SUM(D109:D114)</f>
        <v>0</v>
      </c>
      <c r="E115" s="86">
        <f>SUM(E109:E114)</f>
        <v>630380.94000000006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3775700.37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929700.75999999989</v>
      </c>
      <c r="D119" s="24" t="s">
        <v>286</v>
      </c>
      <c r="E119" s="95">
        <f>+('DOE25'!L282)+('DOE25'!L301)+('DOE25'!L320)</f>
        <v>28815.14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1272368.98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1766207.98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592014.53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4300552.75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1670214.58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1289054.6499999999</v>
      </c>
      <c r="D125" s="24" t="s">
        <v>286</v>
      </c>
      <c r="E125" s="95">
        <f>+('DOE25'!L288)+('DOE25'!L307)+('DOE25'!L326)</f>
        <v>65546.12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770020.12000000011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15595814.600000001</v>
      </c>
      <c r="D128" s="86">
        <f>SUM(D118:D127)</f>
        <v>770020.12000000011</v>
      </c>
      <c r="E128" s="86">
        <f>SUM(E118:E127)</f>
        <v>94361.26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7653.97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1285000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303687.5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30407.279999999999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2049.96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228634.94999999998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-12181.909999999974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1807190.5</v>
      </c>
      <c r="D144" s="141">
        <f>SUM(D130:D143)</f>
        <v>0</v>
      </c>
      <c r="E144" s="141">
        <f>SUM(E130:E143)</f>
        <v>7653.97</v>
      </c>
      <c r="F144" s="141">
        <f>SUM(F130:F143)</f>
        <v>0</v>
      </c>
      <c r="G144" s="141">
        <f>SUM(G130:G143)</f>
        <v>30407.279999999999</v>
      </c>
    </row>
    <row r="145" spans="1:9" ht="12.75" thickTop="1" thickBot="1" x14ac:dyDescent="0.25">
      <c r="A145" s="33" t="s">
        <v>244</v>
      </c>
      <c r="C145" s="86">
        <f>(C115+C128+C144)</f>
        <v>42451085.920000002</v>
      </c>
      <c r="D145" s="86">
        <f>(D115+D128+D144)</f>
        <v>770020.12000000011</v>
      </c>
      <c r="E145" s="86">
        <f>(E115+E128+E144)</f>
        <v>732396.17</v>
      </c>
      <c r="F145" s="86">
        <f>(F115+F128+F144)</f>
        <v>0</v>
      </c>
      <c r="G145" s="86">
        <f>(G115+G128+G144)</f>
        <v>30407.279999999999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20</v>
      </c>
      <c r="F151" s="153">
        <f>'DOE25'!J490</f>
        <v>20</v>
      </c>
      <c r="G151" s="24" t="s">
        <v>286</v>
      </c>
    </row>
    <row r="152" spans="1:9" x14ac:dyDescent="0.2">
      <c r="A152" s="136" t="s">
        <v>28</v>
      </c>
      <c r="B152" s="152" t="str">
        <f>'DOE25'!F491</f>
        <v>06/16</v>
      </c>
      <c r="C152" s="152">
        <f>'DOE25'!G491</f>
        <v>0</v>
      </c>
      <c r="D152" s="152">
        <f>'DOE25'!H491</f>
        <v>0</v>
      </c>
      <c r="E152" s="152" t="str">
        <f>'DOE25'!I491</f>
        <v>11/01</v>
      </c>
      <c r="F152" s="152" t="str">
        <f>'DOE25'!J491</f>
        <v>08/03</v>
      </c>
      <c r="G152" s="24" t="s">
        <v>286</v>
      </c>
    </row>
    <row r="153" spans="1:9" x14ac:dyDescent="0.2">
      <c r="A153" s="136" t="s">
        <v>29</v>
      </c>
      <c r="B153" s="152" t="str">
        <f>'DOE25'!F492</f>
        <v>07/26</v>
      </c>
      <c r="C153" s="152">
        <f>'DOE25'!G492</f>
        <v>0</v>
      </c>
      <c r="D153" s="152">
        <f>'DOE25'!H492</f>
        <v>0</v>
      </c>
      <c r="E153" s="152" t="str">
        <f>'DOE25'!I492</f>
        <v>11/21</v>
      </c>
      <c r="F153" s="152" t="str">
        <f>'DOE25'!J492</f>
        <v>02/23</v>
      </c>
      <c r="G153" s="24" t="s">
        <v>286</v>
      </c>
    </row>
    <row r="154" spans="1:9" x14ac:dyDescent="0.2">
      <c r="A154" s="136" t="s">
        <v>30</v>
      </c>
      <c r="B154" s="137">
        <f>'DOE25'!F493</f>
        <v>1500000</v>
      </c>
      <c r="C154" s="137">
        <f>'DOE25'!G493</f>
        <v>0</v>
      </c>
      <c r="D154" s="137">
        <f>'DOE25'!H493</f>
        <v>0</v>
      </c>
      <c r="E154" s="137">
        <f>'DOE25'!I493</f>
        <v>2300000</v>
      </c>
      <c r="F154" s="137">
        <f>'DOE25'!J493</f>
        <v>20406711</v>
      </c>
      <c r="G154" s="24" t="s">
        <v>286</v>
      </c>
    </row>
    <row r="155" spans="1:9" x14ac:dyDescent="0.2">
      <c r="A155" s="136" t="s">
        <v>31</v>
      </c>
      <c r="B155" s="137">
        <f>'DOE25'!F494</f>
        <v>1.88</v>
      </c>
      <c r="C155" s="137">
        <f>'DOE25'!G494</f>
        <v>0</v>
      </c>
      <c r="D155" s="137">
        <f>'DOE25'!H494</f>
        <v>0</v>
      </c>
      <c r="E155" s="137">
        <f>'DOE25'!I494</f>
        <v>4.22</v>
      </c>
      <c r="F155" s="137">
        <f>'DOE25'!J494</f>
        <v>4.09</v>
      </c>
      <c r="G155" s="24" t="s">
        <v>286</v>
      </c>
    </row>
    <row r="156" spans="1:9" x14ac:dyDescent="0.2">
      <c r="A156" s="22" t="s">
        <v>32</v>
      </c>
      <c r="B156" s="137">
        <f>'DOE25'!F495</f>
        <v>1500000</v>
      </c>
      <c r="C156" s="137">
        <f>'DOE25'!G495</f>
        <v>0</v>
      </c>
      <c r="D156" s="137">
        <f>'DOE25'!H495</f>
        <v>0</v>
      </c>
      <c r="E156" s="137">
        <f>'DOE25'!I495</f>
        <v>575000</v>
      </c>
      <c r="F156" s="137">
        <f>'DOE25'!J495</f>
        <v>6120000</v>
      </c>
      <c r="G156" s="138">
        <f>SUM(B156:F156)</f>
        <v>8195000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150000</v>
      </c>
      <c r="C158" s="137">
        <f>'DOE25'!G497</f>
        <v>0</v>
      </c>
      <c r="D158" s="137">
        <f>'DOE25'!H497</f>
        <v>0</v>
      </c>
      <c r="E158" s="137">
        <f>'DOE25'!I497</f>
        <v>115000</v>
      </c>
      <c r="F158" s="137">
        <f>'DOE25'!J497</f>
        <v>1020000</v>
      </c>
      <c r="G158" s="138">
        <f t="shared" si="0"/>
        <v>1285000</v>
      </c>
    </row>
    <row r="159" spans="1:9" x14ac:dyDescent="0.2">
      <c r="A159" s="22" t="s">
        <v>35</v>
      </c>
      <c r="B159" s="137">
        <f>'DOE25'!F498</f>
        <v>1350000</v>
      </c>
      <c r="C159" s="137">
        <f>'DOE25'!G498</f>
        <v>0</v>
      </c>
      <c r="D159" s="137">
        <f>'DOE25'!H498</f>
        <v>0</v>
      </c>
      <c r="E159" s="137">
        <f>'DOE25'!I498</f>
        <v>460000</v>
      </c>
      <c r="F159" s="137">
        <f>'DOE25'!J498</f>
        <v>5100000</v>
      </c>
      <c r="G159" s="138">
        <f t="shared" si="0"/>
        <v>6910000</v>
      </c>
    </row>
    <row r="160" spans="1:9" x14ac:dyDescent="0.2">
      <c r="A160" s="22" t="s">
        <v>36</v>
      </c>
      <c r="B160" s="137">
        <f>'DOE25'!F499</f>
        <v>125161.65</v>
      </c>
      <c r="C160" s="137">
        <f>'DOE25'!G499</f>
        <v>0</v>
      </c>
      <c r="D160" s="137">
        <f>'DOE25'!H499</f>
        <v>0</v>
      </c>
      <c r="E160" s="137">
        <f>'DOE25'!I499</f>
        <v>42837.5</v>
      </c>
      <c r="F160" s="137">
        <f>'DOE25'!J499</f>
        <v>583950</v>
      </c>
      <c r="G160" s="138">
        <f t="shared" si="0"/>
        <v>751949.15</v>
      </c>
    </row>
    <row r="161" spans="1:7" x14ac:dyDescent="0.2">
      <c r="A161" s="22" t="s">
        <v>37</v>
      </c>
      <c r="B161" s="137">
        <f>'DOE25'!F500</f>
        <v>1475161.65</v>
      </c>
      <c r="C161" s="137">
        <f>'DOE25'!G500</f>
        <v>0</v>
      </c>
      <c r="D161" s="137">
        <f>'DOE25'!H500</f>
        <v>0</v>
      </c>
      <c r="E161" s="137">
        <f>'DOE25'!I500</f>
        <v>502837.5</v>
      </c>
      <c r="F161" s="137">
        <f>'DOE25'!J500</f>
        <v>5683950</v>
      </c>
      <c r="G161" s="138">
        <f t="shared" si="0"/>
        <v>7661949.1500000004</v>
      </c>
    </row>
    <row r="162" spans="1:7" x14ac:dyDescent="0.2">
      <c r="A162" s="22" t="s">
        <v>38</v>
      </c>
      <c r="B162" s="137">
        <f>'DOE25'!F501</f>
        <v>150000</v>
      </c>
      <c r="C162" s="137">
        <f>'DOE25'!G501</f>
        <v>0</v>
      </c>
      <c r="D162" s="137">
        <f>'DOE25'!H501</f>
        <v>0</v>
      </c>
      <c r="E162" s="137">
        <f>'DOE25'!I501</f>
        <v>115000</v>
      </c>
      <c r="F162" s="137">
        <f>'DOE25'!J501</f>
        <v>1020000</v>
      </c>
      <c r="G162" s="138">
        <f t="shared" si="0"/>
        <v>1285000</v>
      </c>
    </row>
    <row r="163" spans="1:7" x14ac:dyDescent="0.2">
      <c r="A163" s="22" t="s">
        <v>39</v>
      </c>
      <c r="B163" s="137">
        <f>'DOE25'!F502</f>
        <v>25032.33</v>
      </c>
      <c r="C163" s="137">
        <f>'DOE25'!G502</f>
        <v>0</v>
      </c>
      <c r="D163" s="137">
        <f>'DOE25'!H502</f>
        <v>0</v>
      </c>
      <c r="E163" s="137">
        <f>'DOE25'!I502</f>
        <v>18658.75</v>
      </c>
      <c r="F163" s="137">
        <f>'DOE25'!J502</f>
        <v>207570</v>
      </c>
      <c r="G163" s="138">
        <f t="shared" si="0"/>
        <v>251261.08000000002</v>
      </c>
    </row>
    <row r="164" spans="1:7" x14ac:dyDescent="0.2">
      <c r="A164" s="22" t="s">
        <v>246</v>
      </c>
      <c r="B164" s="137">
        <f>'DOE25'!F503</f>
        <v>175032.33000000002</v>
      </c>
      <c r="C164" s="137">
        <f>'DOE25'!G503</f>
        <v>0</v>
      </c>
      <c r="D164" s="137">
        <f>'DOE25'!H503</f>
        <v>0</v>
      </c>
      <c r="E164" s="137">
        <f>'DOE25'!I503</f>
        <v>133658.75</v>
      </c>
      <c r="F164" s="137">
        <f>'DOE25'!J503</f>
        <v>1227570</v>
      </c>
      <c r="G164" s="138">
        <f t="shared" si="0"/>
        <v>1536261.08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9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734</v>
      </c>
      <c r="B1" s="285"/>
      <c r="C1" s="285"/>
      <c r="D1" s="285"/>
    </row>
    <row r="2" spans="1:4" x14ac:dyDescent="0.2">
      <c r="A2" s="187" t="s">
        <v>711</v>
      </c>
      <c r="B2" s="186" t="str">
        <f>'DOE25'!A2</f>
        <v>Oyster River Coop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18421</v>
      </c>
    </row>
    <row r="5" spans="1:4" x14ac:dyDescent="0.2">
      <c r="B5" t="s">
        <v>698</v>
      </c>
      <c r="C5" s="179">
        <f>IF('DOE25'!G665+'DOE25'!G670=0,0,ROUND('DOE25'!G672,0))</f>
        <v>17055</v>
      </c>
    </row>
    <row r="6" spans="1:4" x14ac:dyDescent="0.2">
      <c r="B6" t="s">
        <v>62</v>
      </c>
      <c r="C6" s="179">
        <f>IF('DOE25'!H665+'DOE25'!H670=0,0,ROUND('DOE25'!H672,0))</f>
        <v>18704</v>
      </c>
    </row>
    <row r="7" spans="1:4" x14ac:dyDescent="0.2">
      <c r="B7" t="s">
        <v>699</v>
      </c>
      <c r="C7" s="179">
        <f>IF('DOE25'!I665+'DOE25'!I670=0,0,ROUND('DOE25'!I672,0))</f>
        <v>18099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17952031</v>
      </c>
      <c r="D10" s="182">
        <f>ROUND((C10/$C$28)*100,1)</f>
        <v>43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6901391</v>
      </c>
      <c r="D11" s="182">
        <f>ROUND((C11/$C$28)*100,1)</f>
        <v>16.5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28923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796117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3775700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958516</v>
      </c>
      <c r="D16" s="182">
        <f t="shared" si="0"/>
        <v>2.2999999999999998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2626970</v>
      </c>
      <c r="D17" s="182">
        <f t="shared" si="0"/>
        <v>6.3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1766208</v>
      </c>
      <c r="D18" s="182">
        <f t="shared" si="0"/>
        <v>4.2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592015</v>
      </c>
      <c r="D19" s="182">
        <f t="shared" si="0"/>
        <v>1.4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4300553</v>
      </c>
      <c r="D20" s="182">
        <f t="shared" si="0"/>
        <v>10.3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1670215</v>
      </c>
      <c r="D21" s="182">
        <f t="shared" si="0"/>
        <v>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303688</v>
      </c>
      <c r="D25" s="182">
        <f t="shared" si="0"/>
        <v>0.7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76758.520000000019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41749085.520000003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7654</v>
      </c>
    </row>
    <row r="30" spans="1:4" x14ac:dyDescent="0.2">
      <c r="B30" s="187" t="s">
        <v>723</v>
      </c>
      <c r="C30" s="180">
        <f>SUM(C28:C29)</f>
        <v>41756739.520000003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1285000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30316332</v>
      </c>
      <c r="D35" s="182">
        <f t="shared" ref="D35:D40" si="1">ROUND((C35/$C$41)*100,1)</f>
        <v>70.2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2407434.66</v>
      </c>
      <c r="D36" s="182">
        <f t="shared" si="1"/>
        <v>5.6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8730576</v>
      </c>
      <c r="D37" s="182">
        <f t="shared" si="1"/>
        <v>20.2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658004</v>
      </c>
      <c r="D38" s="182">
        <f t="shared" si="1"/>
        <v>1.5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1081636</v>
      </c>
      <c r="D39" s="182">
        <f t="shared" si="1"/>
        <v>2.5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43193982.659999996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761</v>
      </c>
      <c r="B2" s="297"/>
      <c r="C2" s="297"/>
      <c r="D2" s="297"/>
      <c r="E2" s="297"/>
      <c r="F2" s="294" t="str">
        <f>'DOE25'!A2</f>
        <v>Oyster River Coop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842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2018-12-03T19:50:25Z</dcterms:modified>
</cp:coreProperties>
</file>