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12435" yWindow="-15" windowWidth="12480" windowHeight="10800" tabRatio="856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'Salaries-Benefits'!$A$1:$C$53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D50" i="2" s="1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H647" i="1" s="1"/>
  <c r="L226" i="1"/>
  <c r="L244" i="1"/>
  <c r="F17" i="13"/>
  <c r="G17" i="13"/>
  <c r="L251" i="1"/>
  <c r="D17" i="13" s="1"/>
  <c r="C17" i="13" s="1"/>
  <c r="F18" i="13"/>
  <c r="G18" i="13"/>
  <c r="L252" i="1"/>
  <c r="D18" i="13" s="1"/>
  <c r="C18" i="13" s="1"/>
  <c r="F19" i="13"/>
  <c r="G19" i="13"/>
  <c r="L253" i="1"/>
  <c r="F29" i="13"/>
  <c r="G29" i="13"/>
  <c r="L358" i="1"/>
  <c r="L359" i="1"/>
  <c r="L360" i="1"/>
  <c r="H661" i="1" s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E120" i="2" s="1"/>
  <c r="L284" i="1"/>
  <c r="L285" i="1"/>
  <c r="L286" i="1"/>
  <c r="L287" i="1"/>
  <c r="L288" i="1"/>
  <c r="L295" i="1"/>
  <c r="L296" i="1"/>
  <c r="L297" i="1"/>
  <c r="L298" i="1"/>
  <c r="E112" i="2" s="1"/>
  <c r="L300" i="1"/>
  <c r="E118" i="2" s="1"/>
  <c r="L301" i="1"/>
  <c r="L302" i="1"/>
  <c r="L303" i="1"/>
  <c r="L304" i="1"/>
  <c r="L305" i="1"/>
  <c r="L306" i="1"/>
  <c r="G662" i="1" s="1"/>
  <c r="L307" i="1"/>
  <c r="E125" i="2" s="1"/>
  <c r="L314" i="1"/>
  <c r="L315" i="1"/>
  <c r="L316" i="1"/>
  <c r="L317" i="1"/>
  <c r="L319" i="1"/>
  <c r="L320" i="1"/>
  <c r="L321" i="1"/>
  <c r="L322" i="1"/>
  <c r="L323" i="1"/>
  <c r="L324" i="1"/>
  <c r="L325" i="1"/>
  <c r="H662" i="1" s="1"/>
  <c r="L326" i="1"/>
  <c r="L333" i="1"/>
  <c r="E114" i="2" s="1"/>
  <c r="L334" i="1"/>
  <c r="L335" i="1"/>
  <c r="L260" i="1"/>
  <c r="C131" i="2" s="1"/>
  <c r="L261" i="1"/>
  <c r="C25" i="10" s="1"/>
  <c r="L341" i="1"/>
  <c r="L342" i="1"/>
  <c r="L255" i="1"/>
  <c r="C130" i="2" s="1"/>
  <c r="L336" i="1"/>
  <c r="E130" i="2" s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C35" i="10" s="1"/>
  <c r="G60" i="1"/>
  <c r="D56" i="2" s="1"/>
  <c r="H60" i="1"/>
  <c r="I60" i="1"/>
  <c r="F56" i="2" s="1"/>
  <c r="F79" i="1"/>
  <c r="F94" i="1"/>
  <c r="F111" i="1"/>
  <c r="G111" i="1"/>
  <c r="H79" i="1"/>
  <c r="H94" i="1"/>
  <c r="E58" i="2" s="1"/>
  <c r="H111" i="1"/>
  <c r="I111" i="1"/>
  <c r="I112" i="1" s="1"/>
  <c r="J111" i="1"/>
  <c r="J112" i="1" s="1"/>
  <c r="F121" i="1"/>
  <c r="F136" i="1"/>
  <c r="G121" i="1"/>
  <c r="G136" i="1"/>
  <c r="H121" i="1"/>
  <c r="H136" i="1"/>
  <c r="H140" i="1" s="1"/>
  <c r="I121" i="1"/>
  <c r="I136" i="1"/>
  <c r="J121" i="1"/>
  <c r="J136" i="1"/>
  <c r="F147" i="1"/>
  <c r="F162" i="1"/>
  <c r="F169" i="1" s="1"/>
  <c r="G147" i="1"/>
  <c r="G162" i="1"/>
  <c r="H147" i="1"/>
  <c r="H162" i="1"/>
  <c r="I147" i="1"/>
  <c r="I162" i="1"/>
  <c r="L250" i="1"/>
  <c r="L332" i="1"/>
  <c r="L254" i="1"/>
  <c r="L268" i="1"/>
  <c r="L269" i="1"/>
  <c r="L349" i="1"/>
  <c r="C26" i="10" s="1"/>
  <c r="L350" i="1"/>
  <c r="E143" i="2" s="1"/>
  <c r="I665" i="1"/>
  <c r="I670" i="1"/>
  <c r="I669" i="1"/>
  <c r="C42" i="10"/>
  <c r="L374" i="1"/>
  <c r="F130" i="2" s="1"/>
  <c r="L375" i="1"/>
  <c r="L376" i="1"/>
  <c r="L377" i="1"/>
  <c r="L378" i="1"/>
  <c r="L379" i="1"/>
  <c r="L380" i="1"/>
  <c r="B2" i="10"/>
  <c r="L344" i="1"/>
  <c r="L345" i="1"/>
  <c r="E135" i="2" s="1"/>
  <c r="L346" i="1"/>
  <c r="L351" i="1" s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E31" i="2" s="1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E57" i="2"/>
  <c r="C58" i="2"/>
  <c r="C59" i="2"/>
  <c r="D59" i="2"/>
  <c r="E59" i="2"/>
  <c r="F59" i="2"/>
  <c r="D60" i="2"/>
  <c r="D62" i="2" s="1"/>
  <c r="D63" i="2" s="1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E78" i="2" s="1"/>
  <c r="E81" i="2" s="1"/>
  <c r="F76" i="2"/>
  <c r="C77" i="2"/>
  <c r="D77" i="2"/>
  <c r="D78" i="2" s="1"/>
  <c r="E77" i="2"/>
  <c r="F77" i="2"/>
  <c r="F78" i="2" s="1"/>
  <c r="F81" i="2" s="1"/>
  <c r="G77" i="2"/>
  <c r="G78" i="2" s="1"/>
  <c r="G81" i="2" s="1"/>
  <c r="C79" i="2"/>
  <c r="D79" i="2"/>
  <c r="E79" i="2"/>
  <c r="C80" i="2"/>
  <c r="E80" i="2"/>
  <c r="C85" i="2"/>
  <c r="C91" i="2" s="1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E103" i="2" s="1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3" i="2"/>
  <c r="E113" i="2"/>
  <c r="C114" i="2"/>
  <c r="D115" i="2"/>
  <c r="F115" i="2"/>
  <c r="G115" i="2"/>
  <c r="F128" i="2"/>
  <c r="G128" i="2"/>
  <c r="D134" i="2"/>
  <c r="D144" i="2" s="1"/>
  <c r="E134" i="2"/>
  <c r="F134" i="2"/>
  <c r="K419" i="1"/>
  <c r="K427" i="1"/>
  <c r="K433" i="1"/>
  <c r="L263" i="1"/>
  <c r="C135" i="2" s="1"/>
  <c r="L264" i="1"/>
  <c r="C136" i="2" s="1"/>
  <c r="L265" i="1"/>
  <c r="C137" i="2" s="1"/>
  <c r="C142" i="2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G156" i="2" s="1"/>
  <c r="D156" i="2"/>
  <c r="E156" i="2"/>
  <c r="F156" i="2"/>
  <c r="B157" i="2"/>
  <c r="C157" i="2"/>
  <c r="D157" i="2"/>
  <c r="E157" i="2"/>
  <c r="G157" i="2" s="1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G619" i="1" s="1"/>
  <c r="I19" i="1"/>
  <c r="G620" i="1" s="1"/>
  <c r="F32" i="1"/>
  <c r="F52" i="1" s="1"/>
  <c r="H617" i="1" s="1"/>
  <c r="G32" i="1"/>
  <c r="G52" i="1" s="1"/>
  <c r="H618" i="1" s="1"/>
  <c r="H32" i="1"/>
  <c r="I32" i="1"/>
  <c r="H51" i="1"/>
  <c r="I51" i="1"/>
  <c r="G625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I369" i="1" s="1"/>
  <c r="H634" i="1" s="1"/>
  <c r="F369" i="1"/>
  <c r="G369" i="1"/>
  <c r="H369" i="1"/>
  <c r="L381" i="1"/>
  <c r="F382" i="1"/>
  <c r="G382" i="1"/>
  <c r="H382" i="1"/>
  <c r="I382" i="1"/>
  <c r="J382" i="1"/>
  <c r="K382" i="1"/>
  <c r="F393" i="1"/>
  <c r="F408" i="1" s="1"/>
  <c r="H643" i="1" s="1"/>
  <c r="G393" i="1"/>
  <c r="G408" i="1" s="1"/>
  <c r="H645" i="1" s="1"/>
  <c r="H393" i="1"/>
  <c r="I393" i="1"/>
  <c r="F401" i="1"/>
  <c r="G401" i="1"/>
  <c r="H401" i="1"/>
  <c r="I401" i="1"/>
  <c r="I408" i="1" s="1"/>
  <c r="F407" i="1"/>
  <c r="G407" i="1"/>
  <c r="H407" i="1"/>
  <c r="I407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F452" i="1"/>
  <c r="G452" i="1"/>
  <c r="H452" i="1"/>
  <c r="F460" i="1"/>
  <c r="G460" i="1"/>
  <c r="H460" i="1"/>
  <c r="H461" i="1" s="1"/>
  <c r="H641" i="1" s="1"/>
  <c r="F470" i="1"/>
  <c r="G470" i="1"/>
  <c r="H470" i="1"/>
  <c r="I470" i="1"/>
  <c r="I476" i="1" s="1"/>
  <c r="H625" i="1" s="1"/>
  <c r="J470" i="1"/>
  <c r="F474" i="1"/>
  <c r="G474" i="1"/>
  <c r="H474" i="1"/>
  <c r="I474" i="1"/>
  <c r="J474" i="1"/>
  <c r="J476" i="1" s="1"/>
  <c r="H626" i="1" s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K545" i="1" s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I560" i="1"/>
  <c r="J560" i="1"/>
  <c r="K560" i="1"/>
  <c r="L562" i="1"/>
  <c r="L565" i="1" s="1"/>
  <c r="L563" i="1"/>
  <c r="L564" i="1"/>
  <c r="F565" i="1"/>
  <c r="F571" i="1" s="1"/>
  <c r="G565" i="1"/>
  <c r="H565" i="1"/>
  <c r="I565" i="1"/>
  <c r="I571" i="1" s="1"/>
  <c r="J565" i="1"/>
  <c r="J571" i="1" s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18" i="1"/>
  <c r="G622" i="1"/>
  <c r="G623" i="1"/>
  <c r="G624" i="1"/>
  <c r="H627" i="1"/>
  <c r="H628" i="1"/>
  <c r="H629" i="1"/>
  <c r="H630" i="1"/>
  <c r="H631" i="1"/>
  <c r="H632" i="1"/>
  <c r="H633" i="1"/>
  <c r="H635" i="1"/>
  <c r="H636" i="1"/>
  <c r="H637" i="1"/>
  <c r="H638" i="1"/>
  <c r="G641" i="1"/>
  <c r="J641" i="1" s="1"/>
  <c r="G643" i="1"/>
  <c r="J643" i="1" s="1"/>
  <c r="G644" i="1"/>
  <c r="G645" i="1"/>
  <c r="G650" i="1"/>
  <c r="G651" i="1"/>
  <c r="G652" i="1"/>
  <c r="H652" i="1"/>
  <c r="G653" i="1"/>
  <c r="H653" i="1"/>
  <c r="G654" i="1"/>
  <c r="H654" i="1"/>
  <c r="H655" i="1"/>
  <c r="D18" i="2"/>
  <c r="D91" i="2"/>
  <c r="D19" i="13"/>
  <c r="C19" i="13" s="1"/>
  <c r="I169" i="1"/>
  <c r="G476" i="1"/>
  <c r="H623" i="1" s="1"/>
  <c r="J140" i="1"/>
  <c r="I552" i="1"/>
  <c r="G22" i="2"/>
  <c r="H571" i="1"/>
  <c r="H192" i="1"/>
  <c r="J655" i="1"/>
  <c r="L570" i="1"/>
  <c r="E137" i="2" l="1"/>
  <c r="E144" i="2" s="1"/>
  <c r="J552" i="1"/>
  <c r="H552" i="1"/>
  <c r="H545" i="1"/>
  <c r="G545" i="1"/>
  <c r="K551" i="1"/>
  <c r="G552" i="1"/>
  <c r="J545" i="1"/>
  <c r="I545" i="1"/>
  <c r="F552" i="1"/>
  <c r="K550" i="1"/>
  <c r="L524" i="1"/>
  <c r="K598" i="1"/>
  <c r="G647" i="1" s="1"/>
  <c r="J647" i="1" s="1"/>
  <c r="F18" i="2"/>
  <c r="G461" i="1"/>
  <c r="H640" i="1" s="1"/>
  <c r="J640" i="1" s="1"/>
  <c r="F461" i="1"/>
  <c r="H639" i="1" s="1"/>
  <c r="L427" i="1"/>
  <c r="I460" i="1"/>
  <c r="I446" i="1"/>
  <c r="G642" i="1" s="1"/>
  <c r="L419" i="1"/>
  <c r="L434" i="1" s="1"/>
  <c r="G638" i="1" s="1"/>
  <c r="J638" i="1" s="1"/>
  <c r="L401" i="1"/>
  <c r="C139" i="2" s="1"/>
  <c r="H408" i="1"/>
  <c r="H644" i="1" s="1"/>
  <c r="J644" i="1" s="1"/>
  <c r="L393" i="1"/>
  <c r="C138" i="2" s="1"/>
  <c r="F192" i="1"/>
  <c r="H476" i="1"/>
  <c r="H624" i="1" s="1"/>
  <c r="J624" i="1" s="1"/>
  <c r="F476" i="1"/>
  <c r="H622" i="1" s="1"/>
  <c r="J622" i="1" s="1"/>
  <c r="K571" i="1"/>
  <c r="G164" i="2"/>
  <c r="G161" i="2"/>
  <c r="J634" i="1"/>
  <c r="G661" i="1"/>
  <c r="D29" i="13"/>
  <c r="C29" i="13" s="1"/>
  <c r="L328" i="1"/>
  <c r="E122" i="2"/>
  <c r="E121" i="2"/>
  <c r="E119" i="2"/>
  <c r="H338" i="1"/>
  <c r="H352" i="1" s="1"/>
  <c r="G338" i="1"/>
  <c r="G352" i="1" s="1"/>
  <c r="L309" i="1"/>
  <c r="E110" i="2"/>
  <c r="E124" i="2"/>
  <c r="E123" i="2"/>
  <c r="C20" i="10"/>
  <c r="L290" i="1"/>
  <c r="F338" i="1"/>
  <c r="F352" i="1" s="1"/>
  <c r="E111" i="2"/>
  <c r="C29" i="10"/>
  <c r="L256" i="1"/>
  <c r="L270" i="1"/>
  <c r="C132" i="2"/>
  <c r="C123" i="2"/>
  <c r="E13" i="13"/>
  <c r="C13" i="13" s="1"/>
  <c r="J651" i="1"/>
  <c r="D7" i="13"/>
  <c r="C7" i="13" s="1"/>
  <c r="C122" i="2"/>
  <c r="C111" i="2"/>
  <c r="C11" i="10"/>
  <c r="L247" i="1"/>
  <c r="H660" i="1" s="1"/>
  <c r="H664" i="1" s="1"/>
  <c r="H667" i="1" s="1"/>
  <c r="C10" i="10"/>
  <c r="G257" i="1"/>
  <c r="G271" i="1" s="1"/>
  <c r="F257" i="1"/>
  <c r="F271" i="1" s="1"/>
  <c r="A13" i="12"/>
  <c r="D12" i="13"/>
  <c r="C12" i="13" s="1"/>
  <c r="C19" i="10"/>
  <c r="C17" i="10"/>
  <c r="C118" i="2"/>
  <c r="C16" i="10"/>
  <c r="C125" i="2"/>
  <c r="J257" i="1"/>
  <c r="J271" i="1" s="1"/>
  <c r="L229" i="1"/>
  <c r="I257" i="1"/>
  <c r="I271" i="1" s="1"/>
  <c r="A31" i="12"/>
  <c r="A40" i="12"/>
  <c r="D5" i="13"/>
  <c r="C5" i="13" s="1"/>
  <c r="C119" i="2"/>
  <c r="E16" i="13"/>
  <c r="C16" i="13" s="1"/>
  <c r="D14" i="13"/>
  <c r="C14" i="13" s="1"/>
  <c r="D6" i="13"/>
  <c r="C6" i="13" s="1"/>
  <c r="K257" i="1"/>
  <c r="K271" i="1" s="1"/>
  <c r="C110" i="2"/>
  <c r="H257" i="1"/>
  <c r="H271" i="1" s="1"/>
  <c r="C109" i="2"/>
  <c r="L211" i="1"/>
  <c r="C112" i="2"/>
  <c r="H112" i="1"/>
  <c r="E62" i="2"/>
  <c r="E63" i="2" s="1"/>
  <c r="H169" i="1"/>
  <c r="D81" i="2"/>
  <c r="C70" i="2"/>
  <c r="F112" i="1"/>
  <c r="J625" i="1"/>
  <c r="J623" i="1"/>
  <c r="D31" i="2"/>
  <c r="D51" i="2" s="1"/>
  <c r="C18" i="2"/>
  <c r="J617" i="1"/>
  <c r="J639" i="1"/>
  <c r="J645" i="1"/>
  <c r="K503" i="1"/>
  <c r="E109" i="2"/>
  <c r="C15" i="10"/>
  <c r="K549" i="1"/>
  <c r="L544" i="1"/>
  <c r="H25" i="13"/>
  <c r="K500" i="1"/>
  <c r="I452" i="1"/>
  <c r="C121" i="2"/>
  <c r="K338" i="1"/>
  <c r="K352" i="1" s="1"/>
  <c r="H52" i="1"/>
  <c r="H619" i="1" s="1"/>
  <c r="J619" i="1" s="1"/>
  <c r="C32" i="10"/>
  <c r="F661" i="1"/>
  <c r="I661" i="1" s="1"/>
  <c r="G112" i="1"/>
  <c r="D127" i="2"/>
  <c r="D128" i="2" s="1"/>
  <c r="D145" i="2" s="1"/>
  <c r="C57" i="2"/>
  <c r="C62" i="2" s="1"/>
  <c r="C63" i="2" s="1"/>
  <c r="F662" i="1"/>
  <c r="I662" i="1" s="1"/>
  <c r="C13" i="10"/>
  <c r="C12" i="10"/>
  <c r="I52" i="1"/>
  <c r="H620" i="1" s="1"/>
  <c r="J620" i="1" s="1"/>
  <c r="C78" i="2"/>
  <c r="E56" i="2"/>
  <c r="F22" i="13"/>
  <c r="C22" i="13" s="1"/>
  <c r="E8" i="13"/>
  <c r="C8" i="13" s="1"/>
  <c r="G649" i="1"/>
  <c r="J649" i="1" s="1"/>
  <c r="J338" i="1"/>
  <c r="J352" i="1" s="1"/>
  <c r="C124" i="2"/>
  <c r="C120" i="2"/>
  <c r="C56" i="2"/>
  <c r="C18" i="10"/>
  <c r="L382" i="1"/>
  <c r="G636" i="1" s="1"/>
  <c r="J636" i="1" s="1"/>
  <c r="D15" i="13"/>
  <c r="C15" i="13" s="1"/>
  <c r="L614" i="1"/>
  <c r="C21" i="10"/>
  <c r="L529" i="1"/>
  <c r="L337" i="1"/>
  <c r="F62" i="2"/>
  <c r="F63" i="2" s="1"/>
  <c r="F104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F50" i="2"/>
  <c r="C24" i="10"/>
  <c r="G31" i="13"/>
  <c r="G33" i="13" s="1"/>
  <c r="I338" i="1"/>
  <c r="I352" i="1" s="1"/>
  <c r="J650" i="1"/>
  <c r="L407" i="1"/>
  <c r="C140" i="2" s="1"/>
  <c r="C141" i="2" s="1"/>
  <c r="L571" i="1"/>
  <c r="I192" i="1"/>
  <c r="E91" i="2"/>
  <c r="J654" i="1"/>
  <c r="J653" i="1"/>
  <c r="F144" i="2"/>
  <c r="F145" i="2" s="1"/>
  <c r="G21" i="2"/>
  <c r="G31" i="2" s="1"/>
  <c r="J32" i="1"/>
  <c r="J434" i="1"/>
  <c r="F434" i="1"/>
  <c r="K434" i="1"/>
  <c r="G134" i="2" s="1"/>
  <c r="G144" i="2" s="1"/>
  <c r="G145" i="2" s="1"/>
  <c r="F31" i="13"/>
  <c r="J193" i="1"/>
  <c r="G646" i="1" s="1"/>
  <c r="G169" i="1"/>
  <c r="G140" i="1"/>
  <c r="F140" i="1"/>
  <c r="G63" i="2"/>
  <c r="G104" i="2" s="1"/>
  <c r="J618" i="1"/>
  <c r="G42" i="2"/>
  <c r="G50" i="2" s="1"/>
  <c r="J51" i="1"/>
  <c r="G16" i="2"/>
  <c r="J19" i="1"/>
  <c r="G621" i="1" s="1"/>
  <c r="G18" i="2"/>
  <c r="F545" i="1"/>
  <c r="H434" i="1"/>
  <c r="D103" i="2"/>
  <c r="D104" i="2" s="1"/>
  <c r="I140" i="1"/>
  <c r="I193" i="1" s="1"/>
  <c r="G630" i="1" s="1"/>
  <c r="J630" i="1" s="1"/>
  <c r="A22" i="12"/>
  <c r="J652" i="1"/>
  <c r="G571" i="1"/>
  <c r="I434" i="1"/>
  <c r="G434" i="1"/>
  <c r="I663" i="1"/>
  <c r="C27" i="10"/>
  <c r="G635" i="1"/>
  <c r="J635" i="1" s="1"/>
  <c r="H193" i="1" l="1"/>
  <c r="G629" i="1" s="1"/>
  <c r="J629" i="1" s="1"/>
  <c r="K552" i="1"/>
  <c r="L545" i="1"/>
  <c r="G51" i="2"/>
  <c r="I461" i="1"/>
  <c r="H642" i="1" s="1"/>
  <c r="J642" i="1" s="1"/>
  <c r="L408" i="1"/>
  <c r="G660" i="1"/>
  <c r="G664" i="1" s="1"/>
  <c r="G672" i="1" s="1"/>
  <c r="C5" i="10" s="1"/>
  <c r="L338" i="1"/>
  <c r="L352" i="1" s="1"/>
  <c r="G633" i="1" s="1"/>
  <c r="J633" i="1" s="1"/>
  <c r="E128" i="2"/>
  <c r="F660" i="1"/>
  <c r="E115" i="2"/>
  <c r="F33" i="13"/>
  <c r="C144" i="2"/>
  <c r="H672" i="1"/>
  <c r="C6" i="10" s="1"/>
  <c r="C115" i="2"/>
  <c r="L257" i="1"/>
  <c r="L271" i="1" s="1"/>
  <c r="G632" i="1" s="1"/>
  <c r="J632" i="1" s="1"/>
  <c r="C128" i="2"/>
  <c r="E33" i="13"/>
  <c r="D35" i="13" s="1"/>
  <c r="E104" i="2"/>
  <c r="C39" i="10"/>
  <c r="C36" i="10"/>
  <c r="C81" i="2"/>
  <c r="C104" i="2" s="1"/>
  <c r="F193" i="1"/>
  <c r="G627" i="1" s="1"/>
  <c r="J627" i="1" s="1"/>
  <c r="C28" i="10"/>
  <c r="D12" i="10" s="1"/>
  <c r="D31" i="13"/>
  <c r="C31" i="13" s="1"/>
  <c r="F51" i="2"/>
  <c r="H648" i="1"/>
  <c r="J648" i="1" s="1"/>
  <c r="C25" i="13"/>
  <c r="H33" i="13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G637" i="1" l="1"/>
  <c r="J637" i="1" s="1"/>
  <c r="H646" i="1"/>
  <c r="J646" i="1" s="1"/>
  <c r="G667" i="1"/>
  <c r="E145" i="2"/>
  <c r="I660" i="1"/>
  <c r="I664" i="1" s="1"/>
  <c r="I672" i="1" s="1"/>
  <c r="C7" i="10" s="1"/>
  <c r="F664" i="1"/>
  <c r="F672" i="1" s="1"/>
  <c r="C4" i="10" s="1"/>
  <c r="D33" i="13"/>
  <c r="D36" i="13" s="1"/>
  <c r="C145" i="2"/>
  <c r="D20" i="10"/>
  <c r="D24" i="10"/>
  <c r="D19" i="10"/>
  <c r="D23" i="10"/>
  <c r="D26" i="10"/>
  <c r="D15" i="10"/>
  <c r="D11" i="10"/>
  <c r="D17" i="10"/>
  <c r="C30" i="10"/>
  <c r="D27" i="10"/>
  <c r="D25" i="10"/>
  <c r="D10" i="10"/>
  <c r="D16" i="10"/>
  <c r="D22" i="10"/>
  <c r="D13" i="10"/>
  <c r="D21" i="10"/>
  <c r="D18" i="10"/>
  <c r="H656" i="1"/>
  <c r="C41" i="10"/>
  <c r="D38" i="10" s="1"/>
  <c r="I667" i="1" l="1"/>
  <c r="F667" i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<sst xmlns="http://schemas.openxmlformats.org/spreadsheetml/2006/main" count="3966" uniqueCount="922">
  <si>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</si>
  <si>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</si>
  <si>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</si>
  <si>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</si>
  <si>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</si>
  <si>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</si>
  <si>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</si>
  <si>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</si>
  <si>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</si>
  <si>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</si>
  <si>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</si>
  <si>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</si>
  <si>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</si>
  <si>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</si>
  <si>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</si>
  <si>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</si>
  <si>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</si>
  <si>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</si>
  <si>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</si>
  <si>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</si>
  <si>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</si>
  <si>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</si>
  <si>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</si>
  <si>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</si>
  <si>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</si>
  <si>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</si>
  <si>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</si>
  <si>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</si>
  <si>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</si>
  <si>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</si>
  <si>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</si>
  <si>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</si>
  <si>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</si>
  <si>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</si>
  <si>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</si>
  <si>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</si>
  <si>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</si>
  <si>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</si>
  <si>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</si>
  <si>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</si>
  <si>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</si>
  <si>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</si>
  <si>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</si>
  <si>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</si>
  <si>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</si>
  <si>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</si>
  <si>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</si>
  <si>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</si>
  <si>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</si>
  <si>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</si>
  <si>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</si>
  <si>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</si>
  <si>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</si>
  <si>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</si>
  <si>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</si>
  <si>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</si>
  <si>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</si>
  <si>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</si>
  <si>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</si>
  <si>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</si>
  <si>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</si>
  <si>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</si>
  <si>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</si>
  <si>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</si>
  <si>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</si>
  <si>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</si>
  <si>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</si>
  <si>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</si>
  <si>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</si>
  <si>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</si>
  <si>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</si>
  <si>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</si>
  <si>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</si>
  <si>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</si>
  <si>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</si>
  <si>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</si>
  <si>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</si>
  <si>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</si>
  <si>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</si>
  <si>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</si>
  <si>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</si>
  <si>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</si>
  <si>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</si>
  <si>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</si>
  <si>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</si>
  <si>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</si>
  <si>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</si>
  <si>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</si>
  <si>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</si>
  <si>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</si>
  <si>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</si>
  <si>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</si>
  <si>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</si>
  <si>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</si>
  <si>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</si>
  <si>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</si>
  <si>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</si>
  <si>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</si>
  <si>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</si>
  <si>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</si>
  <si>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</si>
  <si>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</si>
  <si>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</si>
  <si>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</si>
  <si>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</si>
  <si>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</si>
  <si>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</si>
  <si>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</si>
  <si>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</si>
  <si>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</si>
  <si>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</si>
  <si>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</si>
  <si>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</si>
  <si>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</si>
  <si>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</si>
  <si>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</si>
  <si>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</si>
  <si>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</si>
  <si>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</si>
  <si>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</si>
  <si>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</si>
  <si>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</si>
  <si>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</si>
  <si>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</si>
  <si>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</si>
  <si>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</si>
  <si>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</si>
  <si>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</si>
  <si>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</si>
  <si>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</si>
  <si>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</si>
  <si>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</si>
  <si>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</si>
  <si>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</si>
  <si>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</si>
  <si>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</si>
  <si>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</si>
  <si>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</si>
  <si>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</si>
  <si>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</si>
  <si>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</si>
  <si>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</si>
  <si>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</si>
  <si>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</si>
  <si>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</si>
  <si>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</si>
  <si>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</si>
  <si>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</si>
  <si>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</si>
  <si>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</si>
  <si>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</si>
  <si>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</si>
  <si>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</si>
  <si>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</si>
  <si>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</si>
  <si>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</si>
  <si>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</si>
  <si>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</si>
  <si>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</si>
  <si>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</si>
  <si>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</si>
  <si>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</si>
  <si>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</si>
  <si>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</si>
  <si>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</si>
  <si>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</si>
  <si>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</si>
  <si>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</si>
  <si>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</si>
  <si>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</si>
  <si>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</si>
  <si>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</si>
  <si>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</si>
  <si>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</si>
  <si>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</si>
  <si>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</si>
  <si>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</si>
  <si>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</si>
  <si>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</si>
  <si>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</si>
  <si>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</si>
  <si>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</si>
  <si>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</si>
  <si>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</si>
  <si>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</si>
  <si>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</si>
  <si>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</si>
  <si>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</si>
  <si>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</si>
  <si>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</si>
  <si>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</si>
  <si>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</si>
  <si>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</si>
  <si>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</si>
  <si>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</si>
  <si>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</si>
  <si>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</si>
  <si>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</si>
  <si>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</si>
  <si>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</si>
  <si>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</si>
  <si>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</si>
  <si>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</si>
  <si>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</si>
  <si>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</si>
  <si>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</si>
  <si>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</si>
  <si>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</si>
  <si>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</si>
  <si>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</si>
  <si>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</si>
  <si>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</si>
  <si>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</si>
  <si>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</si>
  <si>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</si>
  <si>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</si>
  <si>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</si>
  <si>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</si>
  <si>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</si>
  <si>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</si>
  <si>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</si>
  <si>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</si>
  <si>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</si>
  <si>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</si>
  <si>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</si>
  <si>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</si>
  <si>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</si>
  <si>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</si>
  <si>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</si>
  <si>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</si>
  <si>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</si>
  <si>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</si>
  <si>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</si>
  <si>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</si>
  <si>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</si>
  <si>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</si>
  <si>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</si>
  <si>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</si>
  <si>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</si>
  <si>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</si>
  <si>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</si>
  <si>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</si>
  <si>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</si>
  <si>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</si>
  <si>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</si>
  <si>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</si>
  <si>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</si>
  <si>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</si>
  <si>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</si>
  <si>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</si>
  <si>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</si>
  <si>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</si>
  <si>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</si>
  <si>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</si>
  <si>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</si>
  <si>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</si>
  <si>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</si>
  <si>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</si>
  <si>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</si>
  <si>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</si>
  <si>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</si>
  <si>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</si>
  <si>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</si>
  <si>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</si>
  <si>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</si>
  <si>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</si>
  <si>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</si>
  <si>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</si>
  <si>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</si>
  <si>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</si>
  <si>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</si>
  <si>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</si>
  <si>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</si>
  <si>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</si>
  <si>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</si>
  <si>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</si>
  <si>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</si>
  <si>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</si>
  <si>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</si>
  <si>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</si>
  <si>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</si>
  <si>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</si>
  <si>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</si>
  <si>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</si>
  <si>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</si>
  <si>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</si>
  <si>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</si>
  <si>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</si>
  <si>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</si>
  <si>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</si>
  <si>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</si>
  <si>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</si>
  <si>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</si>
  <si>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</si>
  <si>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</si>
  <si>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</si>
  <si>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</si>
  <si>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</si>
  <si>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</si>
  <si>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</si>
  <si>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</si>
  <si>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</si>
  <si>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</si>
  <si>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</si>
  <si>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</si>
  <si>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</si>
  <si>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</si>
  <si>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</si>
  <si>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</si>
  <si>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</si>
  <si>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</si>
  <si>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</si>
  <si>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</si>
  <si>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</si>
  <si>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</si>
  <si>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</si>
  <si>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</si>
  <si>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</si>
  <si>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</si>
  <si>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</si>
  <si>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</si>
  <si>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</si>
  <si>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</si>
  <si>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</si>
  <si>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</si>
  <si>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</si>
  <si>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</si>
  <si>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</si>
  <si>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</si>
  <si>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</si>
  <si>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</si>
  <si>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</si>
  <si>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</si>
  <si>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</si>
  <si>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</si>
  <si>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</si>
  <si>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</si>
  <si>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</si>
  <si>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</si>
  <si>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</si>
  <si>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</si>
  <si>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</si>
  <si>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</si>
  <si>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</si>
  <si>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</si>
  <si>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</si>
  <si>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</si>
  <si>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</si>
  <si>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</si>
  <si>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</si>
  <si>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</si>
  <si>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</si>
  <si>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</si>
  <si>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</si>
  <si>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</si>
  <si>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</si>
  <si>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</si>
  <si>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</si>
  <si>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</si>
  <si>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</si>
  <si>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</si>
  <si>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</si>
  <si>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</si>
  <si>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</si>
  <si>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</si>
  <si>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</si>
  <si>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</si>
  <si>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</si>
  <si>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</si>
  <si>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</si>
  <si>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</si>
  <si>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</si>
  <si>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</si>
  <si>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</si>
  <si>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</si>
  <si>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</si>
  <si>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</si>
  <si>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</si>
  <si>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</si>
  <si>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</si>
  <si>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</si>
  <si>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</si>
  <si>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</si>
  <si>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</si>
  <si>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</si>
  <si>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</si>
  <si>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</si>
  <si>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</si>
  <si>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</si>
  <si>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</si>
  <si>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</si>
  <si>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</si>
  <si>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</si>
  <si>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</si>
  <si>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</si>
  <si>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</si>
  <si>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</si>
  <si>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</si>
  <si>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</si>
  <si>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</si>
  <si>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</si>
  <si>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</si>
  <si>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</si>
  <si>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</si>
  <si>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</si>
  <si>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</si>
  <si>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</si>
  <si>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</si>
  <si>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</si>
  <si>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</si>
  <si>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</si>
  <si>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</si>
  <si>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</si>
  <si>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</si>
  <si>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</si>
  <si>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</si>
  <si>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</si>
  <si>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</si>
  <si>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</si>
  <si>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</si>
  <si>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</si>
  <si>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</si>
  <si>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</si>
  <si>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</si>
  <si>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</si>
  <si>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</si>
  <si>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</si>
  <si>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</si>
  <si>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</si>
  <si>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</si>
  <si>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</si>
  <si>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</si>
  <si>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</si>
  <si>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</si>
  <si>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</si>
  <si>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</si>
  <si>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</si>
  <si>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</si>
  <si>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</si>
  <si>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</si>
  <si>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</si>
  <si>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</si>
  <si>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</si>
  <si>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</si>
  <si>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</si>
  <si>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</si>
  <si>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</si>
  <si>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</si>
  <si>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</si>
  <si>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</si>
  <si>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</si>
  <si>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</si>
  <si>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</si>
  <si>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</si>
  <si>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</si>
  <si>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</si>
  <si>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</si>
  <si>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</si>
  <si>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</si>
  <si>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</si>
  <si>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</si>
  <si>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</si>
  <si>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</si>
  <si>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</si>
  <si>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</si>
  <si>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</si>
  <si>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</si>
  <si>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</si>
  <si>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</si>
  <si>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</si>
  <si>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</si>
  <si>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</si>
  <si>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</si>
  <si>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</si>
  <si>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</si>
  <si>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</si>
  <si>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</si>
  <si>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</si>
  <si>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</si>
  <si>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</si>
  <si>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</si>
  <si>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</si>
  <si>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</si>
  <si>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</si>
  <si>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</si>
  <si>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</si>
  <si>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</si>
  <si>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</si>
  <si>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</si>
  <si>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</si>
  <si>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</si>
  <si>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</si>
  <si>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</si>
  <si>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</si>
  <si>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</si>
  <si>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</si>
  <si>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</si>
  <si>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</si>
  <si>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</si>
  <si>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</si>
  <si>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</si>
  <si>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</si>
  <si>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</si>
  <si>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</si>
  <si>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</si>
  <si>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</si>
  <si>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</si>
  <si>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</si>
  <si>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</si>
  <si>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</si>
  <si>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</si>
  <si>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</si>
  <si>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</si>
  <si>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</si>
  <si>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</si>
  <si>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</si>
  <si>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</si>
  <si>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</si>
  <si>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</si>
  <si>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</si>
  <si>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</si>
  <si>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</si>
  <si>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</si>
  <si>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</si>
  <si>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</si>
  <si>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</si>
  <si>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</si>
  <si>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</si>
  <si>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</si>
  <si>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</si>
  <si>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</si>
  <si>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</si>
  <si>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</si>
  <si>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</si>
  <si>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</si>
  <si>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</si>
  <si>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</si>
  <si>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</si>
  <si>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</si>
  <si>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</si>
  <si>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</si>
  <si>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</si>
  <si>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</si>
  <si>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</si>
  <si>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</si>
  <si>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</si>
  <si>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</si>
  <si>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</si>
  <si>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</si>
  <si>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</si>
  <si>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</si>
  <si>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</si>
  <si>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</si>
  <si>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</si>
  <si>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</si>
  <si>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</si>
  <si>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</si>
  <si>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</si>
  <si>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</si>
  <si>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</si>
  <si>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</si>
  <si>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</si>
  <si>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</si>
  <si>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</si>
  <si>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</si>
  <si>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</si>
  <si>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</si>
  <si>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</si>
  <si>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</si>
  <si>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</si>
  <si>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</si>
  <si>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</si>
  <si>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</si>
  <si>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</si>
  <si>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</si>
  <si>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</si>
  <si>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</si>
  <si>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</si>
  <si>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</si>
  <si>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</si>
  <si>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</si>
  <si>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</si>
  <si>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</si>
  <si>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</si>
  <si>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</si>
  <si>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</si>
  <si>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</si>
  <si>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</si>
  <si>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</si>
  <si>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</si>
  <si>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</si>
  <si>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</si>
  <si>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</si>
  <si>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</si>
  <si>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</si>
  <si>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</si>
  <si>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</si>
  <si>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</si>
  <si>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</si>
  <si>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</si>
  <si>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</si>
  <si>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</si>
  <si>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</si>
  <si>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</si>
  <si>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</si>
  <si>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</si>
  <si>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</si>
  <si>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</si>
  <si>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</si>
  <si>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</si>
  <si>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</si>
  <si>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</si>
  <si>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</si>
  <si>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</si>
  <si>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</si>
  <si>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</si>
  <si>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</si>
  <si>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</si>
  <si>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</si>
  <si>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</si>
  <si>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</si>
  <si>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</si>
  <si>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</si>
  <si>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</si>
  <si>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</si>
  <si>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</si>
  <si>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</si>
  <si>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</si>
  <si>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</si>
  <si>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</si>
  <si>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</si>
  <si>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</si>
  <si>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</si>
  <si>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</si>
  <si>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</si>
  <si>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</si>
  <si>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</si>
  <si>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</si>
  <si>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</si>
  <si>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</si>
  <si>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</si>
  <si>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</si>
  <si>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</si>
  <si>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</si>
  <si>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</si>
  <si>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</si>
  <si>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</si>
  <si>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</si>
  <si>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</si>
  <si>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</si>
  <si>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</si>
  <si>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</si>
  <si>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</si>
  <si>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</si>
  <si>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</si>
  <si>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</si>
  <si>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</si>
  <si>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</si>
  <si>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</si>
  <si>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</si>
  <si>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</si>
  <si>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</si>
  <si>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</si>
  <si>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</si>
  <si>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</si>
  <si>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</si>
  <si>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</si>
  <si>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</si>
  <si>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</si>
  <si>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</si>
  <si>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</si>
  <si>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</si>
  <si>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</si>
  <si>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</si>
  <si>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</si>
  <si>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</si>
  <si>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</si>
  <si>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</si>
  <si>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</si>
  <si>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</si>
  <si>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</si>
  <si>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</si>
  <si>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</si>
  <si>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</si>
  <si>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</si>
  <si>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</si>
  <si>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</si>
  <si>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</si>
  <si>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</si>
  <si>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</si>
  <si>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</si>
  <si>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</si>
  <si>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</si>
  <si>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</si>
  <si>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</si>
  <si>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</si>
  <si>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</si>
  <si>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</si>
  <si>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</si>
  <si>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</si>
  <si>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</si>
  <si>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</si>
  <si>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</si>
  <si>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</si>
  <si>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</si>
  <si>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</si>
  <si>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</si>
  <si>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</si>
  <si>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</si>
  <si>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</si>
  <si>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</si>
  <si>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</si>
  <si>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</si>
  <si>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</si>
  <si>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</si>
  <si>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</si>
  <si>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</si>
  <si>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</si>
  <si>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</si>
  <si>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</si>
  <si>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</si>
  <si>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</si>
  <si>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</si>
  <si>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</si>
  <si>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</si>
  <si>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</si>
  <si>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</si>
  <si>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</si>
  <si>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</si>
  <si>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</si>
  <si>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</si>
  <si>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</si>
  <si>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</si>
  <si>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</si>
  <si>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</si>
  <si>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</si>
  <si>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</si>
  <si>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</si>
  <si>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</si>
  <si>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</si>
  <si>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</si>
  <si>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</si>
  <si>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</si>
  <si>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</si>
  <si>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</si>
  <si>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</si>
  <si>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</si>
  <si>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</si>
  <si>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</si>
  <si>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</si>
  <si>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</si>
  <si>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</si>
  <si>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</si>
  <si>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</si>
  <si>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</si>
  <si>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</si>
  <si>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</si>
  <si>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</si>
  <si>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</si>
  <si>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</si>
  <si>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</si>
  <si>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</si>
  <si>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</si>
  <si>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</si>
  <si>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</si>
  <si>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</si>
  <si>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</si>
  <si>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</si>
  <si>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</si>
  <si>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</si>
  <si>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</si>
  <si>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</si>
  <si>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</si>
  <si>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</si>
  <si>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</si>
  <si>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</si>
  <si>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</si>
  <si>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</si>
  <si>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</si>
  <si>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</si>
  <si>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</si>
  <si>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</si>
  <si>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</si>
  <si>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</si>
  <si>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</si>
  <si>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</si>
  <si>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</si>
  <si>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</si>
  <si>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</si>
  <si>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</si>
  <si>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</si>
  <si>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</si>
  <si>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</si>
  <si>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</si>
  <si>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</si>
  <si>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</si>
  <si>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</si>
  <si>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</si>
  <si>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</si>
  <si>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</si>
  <si>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</si>
  <si>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</si>
  <si>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</si>
  <si>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</si>
  <si>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</si>
  <si>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</si>
  <si>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</si>
  <si>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</si>
  <si>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</si>
  <si>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</si>
  <si>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</si>
  <si>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</si>
  <si>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</si>
  <si>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</si>
  <si>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</si>
  <si>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</si>
  <si>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</si>
  <si>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</si>
  <si>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</si>
  <si>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</si>
  <si>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</si>
  <si>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</si>
  <si>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</si>
  <si>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</si>
  <si>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</si>
  <si>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</si>
  <si>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</si>
  <si>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</si>
  <si>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</si>
  <si>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</si>
  <si>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</si>
  <si>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</si>
  <si>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</si>
  <si>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</si>
  <si>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</si>
  <si>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</si>
  <si>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</si>
  <si>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</si>
  <si>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</si>
  <si>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</si>
  <si>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</si>
  <si>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</si>
  <si>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</si>
  <si>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</si>
  <si>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</si>
  <si>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</si>
  <si>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</si>
  <si>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</si>
  <si>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</si>
  <si>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</si>
  <si>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</si>
  <si>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</si>
  <si>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</si>
  <si>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</si>
  <si>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</si>
  <si>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</si>
  <si>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</si>
  <si>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</si>
  <si>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</si>
  <si>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</si>
  <si>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</si>
  <si>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</si>
  <si>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</si>
  <si>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</si>
  <si>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</si>
  <si>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</si>
  <si>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</si>
  <si>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</si>
  <si>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</si>
  <si>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</si>
  <si>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</si>
  <si>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</si>
  <si>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</si>
  <si>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</si>
  <si>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</si>
  <si>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</si>
  <si>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</si>
  <si>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</si>
  <si>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</si>
  <si>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</si>
  <si>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</si>
  <si>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</si>
  <si>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</si>
  <si>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</si>
  <si>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</si>
  <si>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</si>
  <si>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</si>
  <si>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</si>
  <si>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</si>
  <si>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</si>
  <si>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</si>
  <si>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</si>
  <si>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</si>
  <si>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</si>
  <si>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</si>
  <si>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</si>
  <si>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</si>
  <si>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</si>
  <si>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</si>
  <si>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</si>
  <si>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</si>
  <si>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</si>
  <si>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</si>
  <si>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</si>
  <si>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</si>
  <si>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</si>
  <si>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</si>
  <si>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</si>
  <si>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</si>
  <si>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</si>
  <si>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</si>
  <si>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</si>
  <si>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4/2014</t>
  </si>
  <si>
    <t>7/2019</t>
  </si>
  <si>
    <t>7/2014</t>
  </si>
  <si>
    <t>8/2034</t>
  </si>
  <si>
    <t>Bond interest proceeds transf to general fund restricted</t>
  </si>
  <si>
    <t>Mistake in prior yr, Add Tennis Court Beg Bal</t>
  </si>
  <si>
    <t>Trust, close ath field 36232.29</t>
  </si>
  <si>
    <t>Trust, withraw from tennis court Expend 3025.95</t>
  </si>
  <si>
    <t>Trust, close land CRFs 14692.26</t>
  </si>
  <si>
    <t>PELHAM SCHOOL DISTRICT, SAU28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</si>
</sst>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43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921</v>
      </c>
      <c r="B2" s="21">
        <v>425</v>
      </c>
      <c r="C2" s="21">
        <v>425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2360846.91</v>
      </c>
      <c r="G9" s="18">
        <v>229083.06</v>
      </c>
      <c r="H9" s="18">
        <v>51687.97</v>
      </c>
      <c r="I9" s="18">
        <v>0</v>
      </c>
      <c r="J9" s="67">
        <f>SUM(I439)</f>
        <v>0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v>180682.33</v>
      </c>
      <c r="G12" s="18"/>
      <c r="H12" s="18"/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25528.59</v>
      </c>
      <c r="G13" s="18">
        <v>11224.63</v>
      </c>
      <c r="H13" s="18">
        <v>182828.69</v>
      </c>
      <c r="I13" s="18"/>
      <c r="J13" s="67">
        <f>SUM(I442)</f>
        <v>491214.93000000005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792.79</v>
      </c>
      <c r="G14" s="18"/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/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>
        <v>75519.27</v>
      </c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2643369.89</v>
      </c>
      <c r="G19" s="41">
        <f>SUM(G9:G18)</f>
        <v>240307.69</v>
      </c>
      <c r="H19" s="41">
        <f>SUM(H9:H18)</f>
        <v>234516.66</v>
      </c>
      <c r="I19" s="41">
        <f>SUM(I9:I18)</f>
        <v>0</v>
      </c>
      <c r="J19" s="41">
        <f>SUM(J9:J18)</f>
        <v>491214.93000000005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/>
      <c r="G22" s="18">
        <v>-2146.36</v>
      </c>
      <c r="H22" s="18">
        <v>182828.69</v>
      </c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6378.34</v>
      </c>
      <c r="G24" s="18"/>
      <c r="H24" s="18"/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>
        <v>50006.65</v>
      </c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>
        <v>458414.9</v>
      </c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/>
      <c r="G30" s="18">
        <v>19734.79</v>
      </c>
      <c r="H30" s="18">
        <v>51687.97</v>
      </c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514799.89</v>
      </c>
      <c r="G32" s="41">
        <f>SUM(G22:G31)</f>
        <v>17588.43</v>
      </c>
      <c r="H32" s="41">
        <f>SUM(H22:H31)</f>
        <v>234516.66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>
        <v>222719.26</v>
      </c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>
        <v>75519.27</v>
      </c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/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/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>
        <v>75519.27</v>
      </c>
      <c r="G48" s="18"/>
      <c r="H48" s="18"/>
      <c r="I48" s="18">
        <v>-75519.27</v>
      </c>
      <c r="J48" s="13">
        <f>SUM(I459)</f>
        <v>491214.93000000005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>
        <v>546179.17000000004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1506871.56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2128570</v>
      </c>
      <c r="G51" s="41">
        <f>SUM(G35:G50)</f>
        <v>222719.26</v>
      </c>
      <c r="H51" s="41">
        <f>SUM(H35:H50)</f>
        <v>0</v>
      </c>
      <c r="I51" s="41">
        <f>SUM(I35:I50)</f>
        <v>0</v>
      </c>
      <c r="J51" s="41">
        <f>SUM(J35:J50)</f>
        <v>491214.93000000005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2643369.89</v>
      </c>
      <c r="G52" s="41">
        <f>G51+G32</f>
        <v>240307.69</v>
      </c>
      <c r="H52" s="41">
        <f>H51+H32</f>
        <v>234516.66</v>
      </c>
      <c r="I52" s="41">
        <f>I51+I32</f>
        <v>0</v>
      </c>
      <c r="J52" s="41">
        <f>J51+J32</f>
        <v>491214.93000000005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20880721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20880721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>
        <v>43320</v>
      </c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/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43320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502.74</v>
      </c>
      <c r="G96" s="18"/>
      <c r="H96" s="18"/>
      <c r="I96" s="18">
        <v>308.83999999999997</v>
      </c>
      <c r="J96" s="18">
        <v>12633.91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690833.78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>
        <v>19192.5</v>
      </c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>
        <v>4382.99</v>
      </c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/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7026.52</v>
      </c>
      <c r="G110" s="18"/>
      <c r="H110" s="18">
        <v>29739</v>
      </c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26721.760000000002</v>
      </c>
      <c r="G111" s="41">
        <f>SUM(G96:G110)</f>
        <v>690833.78</v>
      </c>
      <c r="H111" s="41">
        <f>SUM(H96:H110)</f>
        <v>34121.99</v>
      </c>
      <c r="I111" s="41">
        <f>SUM(I96:I110)</f>
        <v>308.83999999999997</v>
      </c>
      <c r="J111" s="41">
        <f>SUM(J96:J110)</f>
        <v>12633.91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20950762.760000002</v>
      </c>
      <c r="G112" s="41">
        <f>G60+G111</f>
        <v>690833.78</v>
      </c>
      <c r="H112" s="41">
        <f>H60+H79+H94+H111</f>
        <v>34121.99</v>
      </c>
      <c r="I112" s="41">
        <f>I60+I111</f>
        <v>308.83999999999997</v>
      </c>
      <c r="J112" s="41">
        <f>J60+J111</f>
        <v>12633.91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4181652.46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3641954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17636.02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7841242.4799999995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/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570922.38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>
        <v>15009.2</v>
      </c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/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>
        <v>4065.44</v>
      </c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10705.5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585931.57999999996</v>
      </c>
      <c r="G136" s="41">
        <f>SUM(G123:G135)</f>
        <v>10705.5</v>
      </c>
      <c r="H136" s="41">
        <f>SUM(H123:H135)</f>
        <v>4065.44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8427174.0599999987</v>
      </c>
      <c r="G140" s="41">
        <f>G121+SUM(G136:G137)</f>
        <v>10705.5</v>
      </c>
      <c r="H140" s="41">
        <f>H121+SUM(H136:H139)</f>
        <v>4065.44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161874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43405.58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178780.56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>
        <v>522809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123639.85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123639.85</v>
      </c>
      <c r="G162" s="41">
        <f>SUM(G150:G161)</f>
        <v>178780.56</v>
      </c>
      <c r="H162" s="41">
        <f>SUM(H150:H161)</f>
        <v>728088.58000000007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123639.85</v>
      </c>
      <c r="G169" s="41">
        <f>G147+G162+SUM(G163:G168)</f>
        <v>178780.56</v>
      </c>
      <c r="H169" s="41">
        <f>H147+H162+SUM(H163:H168)</f>
        <v>728088.58000000007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/>
      <c r="H179" s="18"/>
      <c r="I179" s="18"/>
      <c r="J179" s="18"/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>
        <v>0</v>
      </c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>
        <v>0</v>
      </c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>
        <v>0</v>
      </c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29501576.670000002</v>
      </c>
      <c r="G193" s="47">
        <f>G112+G140+G169+G192</f>
        <v>880319.84000000008</v>
      </c>
      <c r="H193" s="47">
        <f>H112+H140+H169+H192</f>
        <v>766276.01000000013</v>
      </c>
      <c r="I193" s="47">
        <f>I112+I140+I169+I192</f>
        <v>308.83999999999997</v>
      </c>
      <c r="J193" s="47">
        <f>J112+J140+J192</f>
        <v>12633.91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0">
        <v>3825874.7564000003</v>
      </c>
      <c r="G197" s="10">
        <v>2014389.9507999998</v>
      </c>
      <c r="H197" s="10">
        <v>45585.740000000005</v>
      </c>
      <c r="I197" s="10">
        <v>251602.26559999998</v>
      </c>
      <c r="J197" s="10">
        <v>53763.12</v>
      </c>
      <c r="K197" s="10">
        <v>3768.21</v>
      </c>
      <c r="L197" s="19">
        <f>SUM(F197:K197)</f>
        <v>6194984.0427999999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0">
        <v>1702904.6635999999</v>
      </c>
      <c r="G198" s="10">
        <v>606020.77999999991</v>
      </c>
      <c r="H198" s="10">
        <v>792992.85</v>
      </c>
      <c r="I198" s="10">
        <v>20558.748</v>
      </c>
      <c r="J198" s="10">
        <v>6476.7284</v>
      </c>
      <c r="K198" s="10">
        <v>9088.8868000000002</v>
      </c>
      <c r="L198" s="19">
        <f>SUM(F198:K198)</f>
        <v>3138042.6568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0">
        <v>0</v>
      </c>
      <c r="G199" s="10">
        <v>0</v>
      </c>
      <c r="H199" s="10">
        <v>0</v>
      </c>
      <c r="I199" s="10">
        <v>0</v>
      </c>
      <c r="J199" s="10">
        <v>0</v>
      </c>
      <c r="K199" s="10">
        <v>0</v>
      </c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0">
        <v>78942.320000000007</v>
      </c>
      <c r="G200" s="10">
        <v>19673.57</v>
      </c>
      <c r="H200" s="10">
        <v>6822</v>
      </c>
      <c r="I200" s="10">
        <v>7664.05</v>
      </c>
      <c r="J200" s="10">
        <v>0</v>
      </c>
      <c r="K200" s="10">
        <v>2900</v>
      </c>
      <c r="L200" s="19">
        <f>SUM(F200:K200)</f>
        <v>116001.94000000002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0">
        <v>729519.88920000009</v>
      </c>
      <c r="G202" s="10">
        <v>326692.48560000001</v>
      </c>
      <c r="H202" s="10">
        <v>161426.00639999998</v>
      </c>
      <c r="I202" s="10">
        <v>11598.1664</v>
      </c>
      <c r="J202" s="10">
        <v>4540.3940000000002</v>
      </c>
      <c r="K202" s="10">
        <v>203.32</v>
      </c>
      <c r="L202" s="19">
        <f t="shared" ref="L202:L208" si="0">SUM(F202:K202)</f>
        <v>1233980.2616000003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0">
        <v>248006.75199999998</v>
      </c>
      <c r="G203" s="10">
        <v>154638.70549999998</v>
      </c>
      <c r="H203" s="10">
        <v>72890.369500000001</v>
      </c>
      <c r="I203" s="10">
        <v>22763.989000000001</v>
      </c>
      <c r="J203" s="10">
        <v>15767.51</v>
      </c>
      <c r="K203" s="10">
        <v>3727.75</v>
      </c>
      <c r="L203" s="19">
        <f t="shared" si="0"/>
        <v>517795.07599999994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0">
        <v>286888.32799999998</v>
      </c>
      <c r="G204" s="10">
        <v>116767.02959999999</v>
      </c>
      <c r="H204" s="10">
        <v>69523.165999999997</v>
      </c>
      <c r="I204" s="10">
        <v>3795.8892000000001</v>
      </c>
      <c r="J204" s="10">
        <v>870.83519999999999</v>
      </c>
      <c r="K204" s="10">
        <v>15529.445599999999</v>
      </c>
      <c r="L204" s="19">
        <f t="shared" si="0"/>
        <v>493374.69359999988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0">
        <v>634451.30000000005</v>
      </c>
      <c r="G205" s="10">
        <v>306295.33999999997</v>
      </c>
      <c r="H205" s="10">
        <v>57261.23</v>
      </c>
      <c r="I205" s="10">
        <v>4223.1499999999996</v>
      </c>
      <c r="J205" s="10">
        <v>958.89</v>
      </c>
      <c r="K205" s="10">
        <v>5163</v>
      </c>
      <c r="L205" s="19">
        <f t="shared" si="0"/>
        <v>1008352.91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0">
        <v>124117.75999999999</v>
      </c>
      <c r="G206" s="10">
        <v>73576.710999999996</v>
      </c>
      <c r="H206" s="10">
        <v>45261.034</v>
      </c>
      <c r="I206" s="10">
        <v>8017.8995000000004</v>
      </c>
      <c r="J206" s="10">
        <v>263.25</v>
      </c>
      <c r="K206" s="10">
        <v>3809.4225000000001</v>
      </c>
      <c r="L206" s="19">
        <f t="shared" si="0"/>
        <v>255046.07699999999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0">
        <v>425091.86039999995</v>
      </c>
      <c r="G207" s="10">
        <v>223031.3376</v>
      </c>
      <c r="H207" s="10">
        <v>354038.60140000004</v>
      </c>
      <c r="I207" s="10">
        <v>339781.55099999998</v>
      </c>
      <c r="J207" s="10">
        <v>33632.366000000002</v>
      </c>
      <c r="K207" s="10">
        <v>101.5</v>
      </c>
      <c r="L207" s="19">
        <f t="shared" si="0"/>
        <v>1375677.2163999998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0">
        <v>0</v>
      </c>
      <c r="G208" s="10">
        <v>0</v>
      </c>
      <c r="H208" s="10">
        <v>1033499.42</v>
      </c>
      <c r="I208" s="10">
        <v>6850.5036</v>
      </c>
      <c r="J208" s="10">
        <v>0</v>
      </c>
      <c r="K208" s="10">
        <v>0</v>
      </c>
      <c r="L208" s="19">
        <f t="shared" si="0"/>
        <v>1040349.9236000001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0">
        <v>197350.99799999999</v>
      </c>
      <c r="G209" s="10">
        <v>108637.87</v>
      </c>
      <c r="H209" s="10">
        <v>130654.70600000001</v>
      </c>
      <c r="I209" s="10">
        <v>55995.082000000002</v>
      </c>
      <c r="J209" s="10">
        <v>128287.25</v>
      </c>
      <c r="K209" s="10">
        <v>402.35</v>
      </c>
      <c r="L209" s="19">
        <f>SUM(F209:K209)</f>
        <v>621328.25599999994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8253148.6275999993</v>
      </c>
      <c r="G211" s="41">
        <f t="shared" si="1"/>
        <v>3949723.7801000001</v>
      </c>
      <c r="H211" s="41">
        <f t="shared" si="1"/>
        <v>2769955.1233000001</v>
      </c>
      <c r="I211" s="41">
        <f t="shared" si="1"/>
        <v>732851.29430000007</v>
      </c>
      <c r="J211" s="41">
        <f t="shared" si="1"/>
        <v>244560.34359999999</v>
      </c>
      <c r="K211" s="41">
        <f t="shared" si="1"/>
        <v>44693.884899999997</v>
      </c>
      <c r="L211" s="41">
        <f t="shared" si="1"/>
        <v>15994933.053799998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>
        <v>0</v>
      </c>
      <c r="G215" s="18">
        <v>0</v>
      </c>
      <c r="H215" s="18">
        <v>0</v>
      </c>
      <c r="I215" s="18">
        <v>0</v>
      </c>
      <c r="J215" s="18">
        <v>0</v>
      </c>
      <c r="K215" s="18">
        <v>0</v>
      </c>
      <c r="L215" s="19">
        <f>SUM(F215:K215)</f>
        <v>0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>
        <v>0</v>
      </c>
      <c r="G216" s="18">
        <v>0</v>
      </c>
      <c r="H216" s="18">
        <v>0</v>
      </c>
      <c r="I216" s="18">
        <v>0</v>
      </c>
      <c r="J216" s="18">
        <v>0</v>
      </c>
      <c r="K216" s="18">
        <v>0</v>
      </c>
      <c r="L216" s="19">
        <f>SUM(F216:K216)</f>
        <v>0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>
        <v>0</v>
      </c>
      <c r="G218" s="18">
        <v>0</v>
      </c>
      <c r="H218" s="18">
        <v>0</v>
      </c>
      <c r="I218" s="18">
        <v>0</v>
      </c>
      <c r="J218" s="18">
        <v>0</v>
      </c>
      <c r="K218" s="18">
        <v>0</v>
      </c>
      <c r="L218" s="19">
        <f>SUM(F218:K218)</f>
        <v>0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>
        <v>0</v>
      </c>
      <c r="G220" s="18">
        <v>0</v>
      </c>
      <c r="H220" s="18">
        <v>0</v>
      </c>
      <c r="I220" s="18">
        <v>0</v>
      </c>
      <c r="J220" s="18">
        <v>0</v>
      </c>
      <c r="K220" s="18">
        <v>0</v>
      </c>
      <c r="L220" s="19">
        <f t="shared" ref="L220:L226" si="2">SUM(F220:K220)</f>
        <v>0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>
        <v>0</v>
      </c>
      <c r="G221" s="18">
        <v>0</v>
      </c>
      <c r="H221" s="18">
        <v>0</v>
      </c>
      <c r="I221" s="18">
        <v>0</v>
      </c>
      <c r="J221" s="18">
        <v>0</v>
      </c>
      <c r="K221" s="18">
        <v>0</v>
      </c>
      <c r="L221" s="19">
        <f t="shared" si="2"/>
        <v>0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>
        <v>0</v>
      </c>
      <c r="G222" s="18">
        <v>0</v>
      </c>
      <c r="H222" s="18">
        <v>0</v>
      </c>
      <c r="I222" s="18">
        <v>0</v>
      </c>
      <c r="J222" s="18">
        <v>0</v>
      </c>
      <c r="K222" s="18">
        <v>0</v>
      </c>
      <c r="L222" s="19">
        <f t="shared" si="2"/>
        <v>0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>
        <v>0</v>
      </c>
      <c r="G223" s="18">
        <v>0</v>
      </c>
      <c r="H223" s="18">
        <v>0</v>
      </c>
      <c r="I223" s="18">
        <v>0</v>
      </c>
      <c r="J223" s="18">
        <v>0</v>
      </c>
      <c r="K223" s="18">
        <v>0</v>
      </c>
      <c r="L223" s="19">
        <f t="shared" si="2"/>
        <v>0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>
        <v>0</v>
      </c>
      <c r="G224" s="18">
        <v>0</v>
      </c>
      <c r="H224" s="18">
        <v>0</v>
      </c>
      <c r="I224" s="18">
        <v>0</v>
      </c>
      <c r="J224" s="18">
        <v>0</v>
      </c>
      <c r="K224" s="18">
        <v>0</v>
      </c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>
        <v>0</v>
      </c>
      <c r="G225" s="18">
        <v>0</v>
      </c>
      <c r="H225" s="18">
        <v>0</v>
      </c>
      <c r="I225" s="18">
        <v>0</v>
      </c>
      <c r="J225" s="18">
        <v>0</v>
      </c>
      <c r="K225" s="18">
        <v>0</v>
      </c>
      <c r="L225" s="19">
        <f t="shared" si="2"/>
        <v>0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>
        <v>0</v>
      </c>
      <c r="G226" s="18">
        <v>0</v>
      </c>
      <c r="H226" s="18">
        <v>0</v>
      </c>
      <c r="I226" s="18">
        <v>0</v>
      </c>
      <c r="J226" s="18">
        <v>0</v>
      </c>
      <c r="K226" s="18">
        <v>0</v>
      </c>
      <c r="L226" s="19">
        <f t="shared" si="2"/>
        <v>0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>
        <v>0</v>
      </c>
      <c r="G227" s="18">
        <v>0</v>
      </c>
      <c r="H227" s="18">
        <v>0</v>
      </c>
      <c r="I227" s="18">
        <v>0</v>
      </c>
      <c r="J227" s="18">
        <v>0</v>
      </c>
      <c r="K227" s="18">
        <v>0</v>
      </c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0">
        <v>2517309.7036000001</v>
      </c>
      <c r="G233" s="10">
        <v>1137121.8691999998</v>
      </c>
      <c r="H233" s="10">
        <v>15491.41</v>
      </c>
      <c r="I233" s="10">
        <v>165769.85440000001</v>
      </c>
      <c r="J233" s="10">
        <v>44134.11</v>
      </c>
      <c r="K233" s="10">
        <v>0</v>
      </c>
      <c r="L233" s="19">
        <f>SUM(F233:K233)</f>
        <v>3879826.9472000003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0">
        <v>744089.27639999997</v>
      </c>
      <c r="G234" s="10">
        <v>226667.52000000002</v>
      </c>
      <c r="H234" s="10">
        <v>884033.39</v>
      </c>
      <c r="I234" s="10">
        <v>14234.282000000001</v>
      </c>
      <c r="J234" s="10">
        <v>2117.8216000000002</v>
      </c>
      <c r="K234" s="10">
        <v>4277.1232</v>
      </c>
      <c r="L234" s="19">
        <f>SUM(F234:K234)</f>
        <v>1875419.4131999998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0">
        <v>0</v>
      </c>
      <c r="G235" s="10">
        <v>0</v>
      </c>
      <c r="H235" s="10">
        <v>50150.34</v>
      </c>
      <c r="I235" s="10">
        <v>0</v>
      </c>
      <c r="J235" s="10">
        <v>0</v>
      </c>
      <c r="K235" s="10">
        <v>0</v>
      </c>
      <c r="L235" s="19">
        <f>SUM(F235:K235)</f>
        <v>50150.34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0">
        <v>272417.43</v>
      </c>
      <c r="G236" s="10">
        <v>82645.55</v>
      </c>
      <c r="H236" s="10">
        <v>70402.990000000005</v>
      </c>
      <c r="I236" s="10">
        <v>48140.03</v>
      </c>
      <c r="J236" s="10">
        <v>5745</v>
      </c>
      <c r="K236" s="10">
        <v>31229.040000000001</v>
      </c>
      <c r="L236" s="19">
        <f>SUM(F236:K236)</f>
        <v>510580.04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0">
        <v>536522.4608</v>
      </c>
      <c r="G238" s="10">
        <v>305758.23440000002</v>
      </c>
      <c r="H238" s="10">
        <v>76663.753599999996</v>
      </c>
      <c r="I238" s="10">
        <v>16365.4036</v>
      </c>
      <c r="J238" s="10">
        <v>7972.3960000000006</v>
      </c>
      <c r="K238" s="10">
        <v>2513.0299999999997</v>
      </c>
      <c r="L238" s="19">
        <f t="shared" ref="L238:L244" si="4">SUM(F238:K238)</f>
        <v>945795.27839999984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0">
        <v>112273.818</v>
      </c>
      <c r="G239" s="10">
        <v>79632.414499999999</v>
      </c>
      <c r="H239" s="10">
        <v>39248.660499999998</v>
      </c>
      <c r="I239" s="10">
        <v>34403.231</v>
      </c>
      <c r="J239" s="10">
        <v>24377.62</v>
      </c>
      <c r="K239" s="10">
        <v>1466.92</v>
      </c>
      <c r="L239" s="19">
        <f t="shared" si="4"/>
        <v>291402.66399999993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0">
        <v>135006.272</v>
      </c>
      <c r="G240" s="10">
        <v>54949.190399999992</v>
      </c>
      <c r="H240" s="10">
        <v>32716.784</v>
      </c>
      <c r="I240" s="10">
        <v>1786.3008</v>
      </c>
      <c r="J240" s="10">
        <v>409.8048</v>
      </c>
      <c r="K240" s="10">
        <v>7307.9744000000001</v>
      </c>
      <c r="L240" s="19">
        <f t="shared" si="4"/>
        <v>232176.32640000002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0">
        <v>282035.13</v>
      </c>
      <c r="G241" s="10">
        <v>148263.19</v>
      </c>
      <c r="H241" s="10">
        <v>29649.200000000001</v>
      </c>
      <c r="I241" s="10">
        <v>2713.13</v>
      </c>
      <c r="J241" s="10">
        <v>0</v>
      </c>
      <c r="K241" s="10">
        <v>20230.88</v>
      </c>
      <c r="L241" s="19">
        <f t="shared" si="4"/>
        <v>482891.53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0">
        <v>66832.639999999999</v>
      </c>
      <c r="G242" s="10">
        <v>39618.228999999999</v>
      </c>
      <c r="H242" s="10">
        <v>24371.326000000001</v>
      </c>
      <c r="I242" s="10">
        <v>4317.3305</v>
      </c>
      <c r="J242" s="10">
        <v>141.75</v>
      </c>
      <c r="K242" s="10">
        <v>2051.2275</v>
      </c>
      <c r="L242" s="19">
        <f t="shared" si="4"/>
        <v>137332.50300000003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0">
        <v>304600.79960000003</v>
      </c>
      <c r="G243" s="10">
        <v>138736.8224</v>
      </c>
      <c r="H243" s="10">
        <v>181998.43859999999</v>
      </c>
      <c r="I243" s="10">
        <v>331518.24900000001</v>
      </c>
      <c r="J243" s="10">
        <v>16052.423999999999</v>
      </c>
      <c r="K243" s="10">
        <v>73.5</v>
      </c>
      <c r="L243" s="19">
        <f t="shared" si="4"/>
        <v>972980.23360000004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0">
        <v>0</v>
      </c>
      <c r="G244" s="10">
        <v>0</v>
      </c>
      <c r="H244" s="10">
        <v>754933</v>
      </c>
      <c r="I244" s="10">
        <v>3223.7664</v>
      </c>
      <c r="J244" s="10">
        <v>0</v>
      </c>
      <c r="K244" s="10">
        <v>0</v>
      </c>
      <c r="L244" s="19">
        <f t="shared" si="4"/>
        <v>758156.76639999996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0">
        <v>106265.92200000001</v>
      </c>
      <c r="G245" s="10">
        <v>58497.31</v>
      </c>
      <c r="H245" s="10">
        <v>70352.534</v>
      </c>
      <c r="I245" s="10">
        <v>30151.198</v>
      </c>
      <c r="J245" s="10">
        <v>69077.75</v>
      </c>
      <c r="K245" s="10">
        <v>216.65</v>
      </c>
      <c r="L245" s="19">
        <f>SUM(F245:K245)</f>
        <v>334561.364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5077353.4524000008</v>
      </c>
      <c r="G247" s="41">
        <f t="shared" si="5"/>
        <v>2271890.3298999998</v>
      </c>
      <c r="H247" s="41">
        <f t="shared" si="5"/>
        <v>2230011.8267000001</v>
      </c>
      <c r="I247" s="41">
        <f t="shared" si="5"/>
        <v>652622.77569999988</v>
      </c>
      <c r="J247" s="41">
        <f t="shared" si="5"/>
        <v>170028.6764</v>
      </c>
      <c r="K247" s="41">
        <f t="shared" si="5"/>
        <v>69366.345099999991</v>
      </c>
      <c r="L247" s="41">
        <f t="shared" si="5"/>
        <v>10471273.406200001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>
        <v>947404.42</v>
      </c>
      <c r="I255" s="18"/>
      <c r="J255" s="18"/>
      <c r="K255" s="18">
        <v>15555</v>
      </c>
      <c r="L255" s="19">
        <f t="shared" si="6"/>
        <v>962959.42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947404.42</v>
      </c>
      <c r="I256" s="41">
        <f t="shared" si="7"/>
        <v>0</v>
      </c>
      <c r="J256" s="41">
        <f t="shared" si="7"/>
        <v>0</v>
      </c>
      <c r="K256" s="41">
        <f t="shared" si="7"/>
        <v>15555</v>
      </c>
      <c r="L256" s="41">
        <f>SUM(F256:K256)</f>
        <v>962959.42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13330502.08</v>
      </c>
      <c r="G257" s="41">
        <f t="shared" si="8"/>
        <v>6221614.1099999994</v>
      </c>
      <c r="H257" s="41">
        <f t="shared" si="8"/>
        <v>5947371.3700000001</v>
      </c>
      <c r="I257" s="41">
        <f t="shared" si="8"/>
        <v>1385474.0699999998</v>
      </c>
      <c r="J257" s="41">
        <f t="shared" si="8"/>
        <v>414589.02</v>
      </c>
      <c r="K257" s="41">
        <f t="shared" si="8"/>
        <v>129615.22999999998</v>
      </c>
      <c r="L257" s="41">
        <f t="shared" si="8"/>
        <v>27429165.880000003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v>1040000</v>
      </c>
      <c r="L260" s="19">
        <f>SUM(F260:K260)</f>
        <v>1040000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v>801195</v>
      </c>
      <c r="L261" s="19">
        <f>SUM(F261:K261)</f>
        <v>801195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/>
      <c r="L263" s="19">
        <f>SUM(F263:K263)</f>
        <v>0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/>
      <c r="L266" s="19">
        <f t="shared" si="9"/>
        <v>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1841195</v>
      </c>
      <c r="L270" s="41">
        <f t="shared" si="9"/>
        <v>1841195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13330502.08</v>
      </c>
      <c r="G271" s="42">
        <f t="shared" si="11"/>
        <v>6221614.1099999994</v>
      </c>
      <c r="H271" s="42">
        <f t="shared" si="11"/>
        <v>5947371.3700000001</v>
      </c>
      <c r="I271" s="42">
        <f t="shared" si="11"/>
        <v>1385474.0699999998</v>
      </c>
      <c r="J271" s="42">
        <f t="shared" si="11"/>
        <v>414589.02</v>
      </c>
      <c r="K271" s="42">
        <f t="shared" si="11"/>
        <v>1970810.23</v>
      </c>
      <c r="L271" s="42">
        <f t="shared" si="11"/>
        <v>29270360.880000003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0">
        <v>124643.97</v>
      </c>
      <c r="G276" s="10">
        <v>13751.88</v>
      </c>
      <c r="H276" s="10">
        <v>548.17999999999995</v>
      </c>
      <c r="I276" s="10">
        <v>12281.992</v>
      </c>
      <c r="J276" s="10">
        <v>6483.35</v>
      </c>
      <c r="K276" s="10">
        <v>0</v>
      </c>
      <c r="L276" s="19">
        <f>SUM(F276:K276)</f>
        <v>157709.372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0">
        <v>161805.63959999999</v>
      </c>
      <c r="G277" s="10">
        <v>49976.824399999998</v>
      </c>
      <c r="H277" s="10">
        <v>39868.080399999999</v>
      </c>
      <c r="I277" s="10">
        <v>5232.8447999999999</v>
      </c>
      <c r="J277" s="10">
        <v>2874.9720000000002</v>
      </c>
      <c r="K277" s="10">
        <v>0</v>
      </c>
      <c r="L277" s="19">
        <f>SUM(F277:K277)</f>
        <v>259758.36119999998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>
        <v>0</v>
      </c>
      <c r="G279" s="18">
        <v>0</v>
      </c>
      <c r="H279" s="18">
        <v>0</v>
      </c>
      <c r="I279" s="18">
        <v>0</v>
      </c>
      <c r="J279" s="18">
        <v>0</v>
      </c>
      <c r="K279" s="18">
        <v>0</v>
      </c>
      <c r="L279" s="19">
        <f>SUM(F279:K279)</f>
        <v>0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0">
        <v>31717.763599999998</v>
      </c>
      <c r="G281" s="10">
        <v>19617.7552</v>
      </c>
      <c r="H281" s="10">
        <v>43142.09</v>
      </c>
      <c r="I281" s="10">
        <v>1326.4079999999999</v>
      </c>
      <c r="J281" s="10">
        <v>0</v>
      </c>
      <c r="K281" s="10">
        <v>0</v>
      </c>
      <c r="L281" s="19">
        <f t="shared" ref="L281:L287" si="12">SUM(F281:K281)</f>
        <v>95804.016799999983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0">
        <v>13820.815500000001</v>
      </c>
      <c r="G282" s="10">
        <v>2796.4615000000003</v>
      </c>
      <c r="H282" s="10">
        <v>16993.334999999999</v>
      </c>
      <c r="I282" s="10">
        <v>180.00450000000001</v>
      </c>
      <c r="J282" s="10">
        <v>0</v>
      </c>
      <c r="K282" s="10">
        <v>0</v>
      </c>
      <c r="L282" s="19">
        <f t="shared" si="12"/>
        <v>33790.616500000004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0">
        <v>0</v>
      </c>
      <c r="G283" s="10">
        <v>0</v>
      </c>
      <c r="H283" s="10">
        <v>0</v>
      </c>
      <c r="I283" s="10">
        <v>0</v>
      </c>
      <c r="J283" s="10">
        <v>0</v>
      </c>
      <c r="K283" s="10">
        <v>0</v>
      </c>
      <c r="L283" s="19">
        <f t="shared" si="12"/>
        <v>0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0">
        <v>0</v>
      </c>
      <c r="G284" s="10">
        <v>0</v>
      </c>
      <c r="H284" s="10">
        <v>0</v>
      </c>
      <c r="I284" s="10">
        <v>0</v>
      </c>
      <c r="J284" s="10">
        <v>0</v>
      </c>
      <c r="K284" s="10">
        <v>0</v>
      </c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0">
        <v>0</v>
      </c>
      <c r="G285" s="10">
        <v>0</v>
      </c>
      <c r="H285" s="10">
        <v>0</v>
      </c>
      <c r="I285" s="10">
        <v>0</v>
      </c>
      <c r="J285" s="10">
        <v>0</v>
      </c>
      <c r="K285" s="10">
        <v>0</v>
      </c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0">
        <v>0</v>
      </c>
      <c r="G286" s="10">
        <v>0</v>
      </c>
      <c r="H286" s="10">
        <v>0</v>
      </c>
      <c r="I286" s="10">
        <v>0</v>
      </c>
      <c r="J286" s="10">
        <v>0</v>
      </c>
      <c r="K286" s="10">
        <v>0</v>
      </c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0">
        <v>0</v>
      </c>
      <c r="G287" s="10">
        <v>0</v>
      </c>
      <c r="H287" s="10">
        <v>0</v>
      </c>
      <c r="I287" s="10">
        <v>0</v>
      </c>
      <c r="J287" s="10">
        <v>0</v>
      </c>
      <c r="K287" s="10">
        <v>0</v>
      </c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0">
        <v>0</v>
      </c>
      <c r="G288" s="10">
        <v>0</v>
      </c>
      <c r="H288" s="10">
        <v>0</v>
      </c>
      <c r="I288" s="10">
        <v>0</v>
      </c>
      <c r="J288" s="10">
        <v>19330.349999999999</v>
      </c>
      <c r="K288" s="10">
        <v>1527.5985000000001</v>
      </c>
      <c r="L288" s="19">
        <f>SUM(F288:K288)</f>
        <v>20857.948499999999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331988.1887</v>
      </c>
      <c r="G290" s="42">
        <f t="shared" si="13"/>
        <v>86142.921100000007</v>
      </c>
      <c r="H290" s="42">
        <f t="shared" si="13"/>
        <v>100551.68539999999</v>
      </c>
      <c r="I290" s="42">
        <f t="shared" si="13"/>
        <v>19021.249299999999</v>
      </c>
      <c r="J290" s="42">
        <f t="shared" si="13"/>
        <v>28688.671999999999</v>
      </c>
      <c r="K290" s="42">
        <f t="shared" si="13"/>
        <v>1527.5985000000001</v>
      </c>
      <c r="L290" s="41">
        <f t="shared" si="13"/>
        <v>567920.31499999994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>
        <v>0</v>
      </c>
      <c r="G296" s="18">
        <v>0</v>
      </c>
      <c r="H296" s="18">
        <v>0</v>
      </c>
      <c r="I296" s="18">
        <v>0</v>
      </c>
      <c r="J296" s="18">
        <v>0</v>
      </c>
      <c r="K296" s="18">
        <v>0</v>
      </c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>
        <v>0</v>
      </c>
      <c r="G297" s="18">
        <v>0</v>
      </c>
      <c r="H297" s="18">
        <v>0</v>
      </c>
      <c r="I297" s="18">
        <v>0</v>
      </c>
      <c r="J297" s="18">
        <v>0</v>
      </c>
      <c r="K297" s="18">
        <v>0</v>
      </c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>
        <v>0</v>
      </c>
      <c r="G298" s="18">
        <v>0</v>
      </c>
      <c r="H298" s="18">
        <v>0</v>
      </c>
      <c r="I298" s="18">
        <v>0</v>
      </c>
      <c r="J298" s="18">
        <v>0</v>
      </c>
      <c r="K298" s="18">
        <v>0</v>
      </c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>
        <v>0</v>
      </c>
      <c r="G300" s="18">
        <v>0</v>
      </c>
      <c r="H300" s="18">
        <v>0</v>
      </c>
      <c r="I300" s="18">
        <v>0</v>
      </c>
      <c r="J300" s="18">
        <v>0</v>
      </c>
      <c r="K300" s="18">
        <v>0</v>
      </c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>
        <v>0</v>
      </c>
      <c r="G301" s="18">
        <v>0</v>
      </c>
      <c r="H301" s="18">
        <v>0</v>
      </c>
      <c r="I301" s="18">
        <v>0</v>
      </c>
      <c r="J301" s="18">
        <v>0</v>
      </c>
      <c r="K301" s="18">
        <v>0</v>
      </c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>
        <v>0</v>
      </c>
      <c r="G305" s="18">
        <v>0</v>
      </c>
      <c r="H305" s="18">
        <v>0</v>
      </c>
      <c r="I305" s="18">
        <v>0</v>
      </c>
      <c r="J305" s="18">
        <v>0</v>
      </c>
      <c r="K305" s="18">
        <v>0</v>
      </c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>
        <v>0</v>
      </c>
      <c r="G307" s="18">
        <v>0</v>
      </c>
      <c r="H307" s="18">
        <v>0</v>
      </c>
      <c r="I307" s="18">
        <v>0</v>
      </c>
      <c r="J307" s="18">
        <v>0</v>
      </c>
      <c r="K307" s="18">
        <v>0</v>
      </c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0">
        <v>0</v>
      </c>
      <c r="G314" s="10">
        <v>-0.96</v>
      </c>
      <c r="H314" s="10">
        <v>0</v>
      </c>
      <c r="I314" s="10">
        <v>924.68799999999999</v>
      </c>
      <c r="J314" s="10">
        <v>0</v>
      </c>
      <c r="K314" s="10">
        <v>0</v>
      </c>
      <c r="L314" s="19">
        <f>SUM(F314:K314)</f>
        <v>923.72799999999995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0">
        <v>76143.830400000006</v>
      </c>
      <c r="G315" s="10">
        <v>23518.5056</v>
      </c>
      <c r="H315" s="10">
        <v>18761.4496</v>
      </c>
      <c r="I315" s="10">
        <v>2462.5151999999998</v>
      </c>
      <c r="J315" s="10">
        <v>1352.9280000000001</v>
      </c>
      <c r="K315" s="10">
        <v>0</v>
      </c>
      <c r="L315" s="19">
        <f>SUM(F315:K315)</f>
        <v>122239.2288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0">
        <v>1000</v>
      </c>
      <c r="G317" s="10">
        <v>167.31</v>
      </c>
      <c r="H317" s="10">
        <v>0</v>
      </c>
      <c r="I317" s="10">
        <v>1403.13</v>
      </c>
      <c r="J317" s="10">
        <v>1495</v>
      </c>
      <c r="K317" s="10">
        <v>0</v>
      </c>
      <c r="L317" s="19">
        <f>SUM(F317:K317)</f>
        <v>4065.44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0">
        <v>14926.0064</v>
      </c>
      <c r="G319" s="10">
        <v>9231.8847999999998</v>
      </c>
      <c r="H319" s="10">
        <v>20302.16</v>
      </c>
      <c r="I319" s="10">
        <v>624.19200000000001</v>
      </c>
      <c r="J319" s="10">
        <v>0</v>
      </c>
      <c r="K319" s="10">
        <v>0</v>
      </c>
      <c r="L319" s="19">
        <f t="shared" ref="L319:L325" si="16">SUM(F319:K319)</f>
        <v>45084.243200000004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0">
        <v>4989.2745000000004</v>
      </c>
      <c r="G320" s="10">
        <v>1158.8885</v>
      </c>
      <c r="H320" s="10">
        <v>8650.5650000000005</v>
      </c>
      <c r="I320" s="10">
        <v>96.9255</v>
      </c>
      <c r="J320" s="10">
        <v>0</v>
      </c>
      <c r="K320" s="10">
        <v>0</v>
      </c>
      <c r="L320" s="19">
        <f t="shared" si="16"/>
        <v>14895.6535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0">
        <v>0</v>
      </c>
      <c r="G321" s="10">
        <v>0</v>
      </c>
      <c r="H321" s="10">
        <v>0</v>
      </c>
      <c r="I321" s="10">
        <v>0</v>
      </c>
      <c r="J321" s="10">
        <v>0</v>
      </c>
      <c r="K321" s="10">
        <v>0</v>
      </c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0">
        <v>0</v>
      </c>
      <c r="G322" s="10">
        <v>0</v>
      </c>
      <c r="H322" s="10">
        <v>0</v>
      </c>
      <c r="I322" s="10">
        <v>0</v>
      </c>
      <c r="J322" s="10">
        <v>0</v>
      </c>
      <c r="K322" s="10">
        <v>0</v>
      </c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0">
        <v>0</v>
      </c>
      <c r="G323" s="10">
        <v>0</v>
      </c>
      <c r="H323" s="10">
        <v>0</v>
      </c>
      <c r="I323" s="10">
        <v>0</v>
      </c>
      <c r="J323" s="10">
        <v>0</v>
      </c>
      <c r="K323" s="10">
        <v>0</v>
      </c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0">
        <v>0</v>
      </c>
      <c r="G324" s="10">
        <v>0</v>
      </c>
      <c r="H324" s="10">
        <v>0</v>
      </c>
      <c r="I324" s="10">
        <v>0</v>
      </c>
      <c r="J324" s="10">
        <v>0</v>
      </c>
      <c r="K324" s="10">
        <v>0</v>
      </c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0">
        <v>0</v>
      </c>
      <c r="G325" s="10">
        <v>0</v>
      </c>
      <c r="H325" s="10">
        <v>0</v>
      </c>
      <c r="I325" s="10">
        <v>0</v>
      </c>
      <c r="J325" s="10">
        <v>0</v>
      </c>
      <c r="K325" s="10">
        <v>0</v>
      </c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0">
        <v>0</v>
      </c>
      <c r="G326" s="10">
        <v>0</v>
      </c>
      <c r="H326" s="10">
        <v>0</v>
      </c>
      <c r="I326" s="10">
        <v>0</v>
      </c>
      <c r="J326" s="10">
        <v>10408.65</v>
      </c>
      <c r="K326" s="10">
        <v>738.75149999999996</v>
      </c>
      <c r="L326" s="19">
        <f>SUM(F326:K326)</f>
        <v>11147.4015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97059.111300000004</v>
      </c>
      <c r="G328" s="42">
        <f t="shared" si="17"/>
        <v>34075.628900000003</v>
      </c>
      <c r="H328" s="42">
        <f t="shared" si="17"/>
        <v>47714.174599999998</v>
      </c>
      <c r="I328" s="42">
        <f t="shared" si="17"/>
        <v>5511.4507000000003</v>
      </c>
      <c r="J328" s="42">
        <f t="shared" si="17"/>
        <v>13256.578</v>
      </c>
      <c r="K328" s="42">
        <f t="shared" si="17"/>
        <v>738.75149999999996</v>
      </c>
      <c r="L328" s="41">
        <f t="shared" si="17"/>
        <v>198355.69500000004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429047.3</v>
      </c>
      <c r="G338" s="41">
        <f t="shared" si="20"/>
        <v>120218.55000000002</v>
      </c>
      <c r="H338" s="41">
        <f t="shared" si="20"/>
        <v>148265.85999999999</v>
      </c>
      <c r="I338" s="41">
        <f t="shared" si="20"/>
        <v>24532.7</v>
      </c>
      <c r="J338" s="41">
        <f t="shared" si="20"/>
        <v>41945.25</v>
      </c>
      <c r="K338" s="41">
        <f t="shared" si="20"/>
        <v>2266.35</v>
      </c>
      <c r="L338" s="41">
        <f t="shared" si="20"/>
        <v>766276.01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>
        <v>0</v>
      </c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>
        <v>0</v>
      </c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429047.3</v>
      </c>
      <c r="G352" s="41">
        <f>G338</f>
        <v>120218.55000000002</v>
      </c>
      <c r="H352" s="41">
        <f>H338</f>
        <v>148265.85999999999</v>
      </c>
      <c r="I352" s="41">
        <f>I338</f>
        <v>24532.7</v>
      </c>
      <c r="J352" s="41">
        <f>J338</f>
        <v>41945.25</v>
      </c>
      <c r="K352" s="47">
        <f>K338+K351</f>
        <v>2266.35</v>
      </c>
      <c r="L352" s="41">
        <f>L338+L351</f>
        <v>766276.01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0">
        <v>210696.85320000001</v>
      </c>
      <c r="G358" s="10">
        <v>72027.324800000002</v>
      </c>
      <c r="H358" s="10">
        <v>20730.960400000004</v>
      </c>
      <c r="I358" s="10">
        <v>227623.03399999999</v>
      </c>
      <c r="J358" s="10">
        <v>0</v>
      </c>
      <c r="K358" s="10">
        <v>619.82000000000005</v>
      </c>
      <c r="L358" s="13">
        <f>SUM(F358:K358)</f>
        <v>531697.99239999999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0">
        <v>0</v>
      </c>
      <c r="G359" s="10">
        <v>0</v>
      </c>
      <c r="H359" s="10">
        <v>0</v>
      </c>
      <c r="I359" s="10">
        <v>0</v>
      </c>
      <c r="J359" s="10">
        <v>0</v>
      </c>
      <c r="K359" s="10">
        <v>0</v>
      </c>
      <c r="L359" s="19">
        <f>SUM(F359:K359)</f>
        <v>0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0">
        <v>113102.8768</v>
      </c>
      <c r="G360" s="10">
        <v>22779.655200000001</v>
      </c>
      <c r="H360" s="10">
        <v>7719.6396000000004</v>
      </c>
      <c r="I360" s="10">
        <v>178996.78599999999</v>
      </c>
      <c r="J360" s="10">
        <v>0</v>
      </c>
      <c r="K360" s="10">
        <v>291.68</v>
      </c>
      <c r="L360" s="19">
        <f>SUM(F360:K360)</f>
        <v>322890.63759999996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323799.73</v>
      </c>
      <c r="G362" s="47">
        <f t="shared" si="22"/>
        <v>94806.98000000001</v>
      </c>
      <c r="H362" s="47">
        <f t="shared" si="22"/>
        <v>28450.600000000006</v>
      </c>
      <c r="I362" s="47">
        <f t="shared" si="22"/>
        <v>406619.81999999995</v>
      </c>
      <c r="J362" s="47">
        <f t="shared" si="22"/>
        <v>0</v>
      </c>
      <c r="K362" s="47">
        <f t="shared" si="22"/>
        <v>911.5</v>
      </c>
      <c r="L362" s="47">
        <f t="shared" si="22"/>
        <v>854588.62999999989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v>210173.96</v>
      </c>
      <c r="G367" s="18">
        <v>0</v>
      </c>
      <c r="H367" s="18">
        <v>168938.83</v>
      </c>
      <c r="I367" s="56">
        <f>SUM(F367:H367)</f>
        <v>379112.79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v>17449.080000000002</v>
      </c>
      <c r="G368" s="63">
        <v>0</v>
      </c>
      <c r="H368" s="63">
        <v>10057.950000000001</v>
      </c>
      <c r="I368" s="56">
        <f>SUM(F368:H368)</f>
        <v>27507.030000000002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227623.03999999998</v>
      </c>
      <c r="G369" s="47">
        <f>SUM(G367:G368)</f>
        <v>0</v>
      </c>
      <c r="H369" s="47">
        <f>SUM(H367:H368)</f>
        <v>178996.78</v>
      </c>
      <c r="I369" s="47">
        <f>SUM(I367:I368)</f>
        <v>406619.82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>
        <v>59533.88</v>
      </c>
      <c r="I379" s="18"/>
      <c r="J379" s="18">
        <v>85086.58</v>
      </c>
      <c r="K379" s="18">
        <v>3742.97</v>
      </c>
      <c r="L379" s="13">
        <f t="shared" si="23"/>
        <v>148363.43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59533.88</v>
      </c>
      <c r="I382" s="41">
        <f t="shared" si="24"/>
        <v>0</v>
      </c>
      <c r="J382" s="47">
        <f t="shared" si="24"/>
        <v>85086.58</v>
      </c>
      <c r="K382" s="47">
        <f t="shared" si="24"/>
        <v>3742.97</v>
      </c>
      <c r="L382" s="47">
        <f t="shared" si="24"/>
        <v>148363.43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>
        <v>0</v>
      </c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>
        <v>29.15</v>
      </c>
      <c r="I391" s="18"/>
      <c r="J391" s="24" t="s">
        <v>286</v>
      </c>
      <c r="K391" s="24" t="s">
        <v>286</v>
      </c>
      <c r="L391" s="56">
        <f t="shared" si="25"/>
        <v>29.15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29.15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29.15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>
        <v>9413.93</v>
      </c>
      <c r="I396" s="18"/>
      <c r="J396" s="24" t="s">
        <v>286</v>
      </c>
      <c r="K396" s="24" t="s">
        <v>286</v>
      </c>
      <c r="L396" s="56">
        <f t="shared" si="26"/>
        <v>9413.93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>
        <v>2390.14</v>
      </c>
      <c r="I397" s="18"/>
      <c r="J397" s="24" t="s">
        <v>286</v>
      </c>
      <c r="K397" s="24" t="s">
        <v>286</v>
      </c>
      <c r="L397" s="56">
        <f t="shared" si="26"/>
        <v>2390.14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>
        <v>800.69</v>
      </c>
      <c r="I400" s="18"/>
      <c r="J400" s="24" t="s">
        <v>286</v>
      </c>
      <c r="K400" s="24" t="s">
        <v>286</v>
      </c>
      <c r="L400" s="56">
        <f t="shared" si="26"/>
        <v>800.69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12604.76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12604.76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12633.91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12633.91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>
        <v>36232.29</v>
      </c>
      <c r="L413" s="56">
        <f t="shared" ref="L413:L418" si="27">SUM(F413:K413)</f>
        <v>36232.29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>
        <v>32.68</v>
      </c>
      <c r="L417" s="56">
        <f t="shared" si="27"/>
        <v>32.68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36264.97</v>
      </c>
      <c r="L419" s="47">
        <f t="shared" si="28"/>
        <v>36264.97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>
        <v>2255.5</v>
      </c>
      <c r="L422" s="56">
        <f t="shared" si="29"/>
        <v>2255.5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>
        <v>662.77</v>
      </c>
      <c r="L423" s="56">
        <f t="shared" si="29"/>
        <v>662.77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>
        <v>3216.42</v>
      </c>
      <c r="L426" s="56">
        <f t="shared" si="29"/>
        <v>3216.42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6134.6900000000005</v>
      </c>
      <c r="L427" s="47">
        <f t="shared" si="30"/>
        <v>6134.6900000000005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42399.66</v>
      </c>
      <c r="L434" s="47">
        <f t="shared" si="32"/>
        <v>42399.66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>
        <v>201949.85</v>
      </c>
      <c r="G442" s="18">
        <v>289265.08</v>
      </c>
      <c r="H442" s="18"/>
      <c r="I442" s="56">
        <f t="shared" si="33"/>
        <v>491214.93000000005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201949.85</v>
      </c>
      <c r="G446" s="13">
        <f>SUM(G439:G445)</f>
        <v>289265.08</v>
      </c>
      <c r="H446" s="13">
        <f>SUM(H439:H445)</f>
        <v>0</v>
      </c>
      <c r="I446" s="13">
        <f>SUM(I439:I445)</f>
        <v>491214.93000000005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>
        <v>201949.85</v>
      </c>
      <c r="G459" s="18">
        <v>289265.08</v>
      </c>
      <c r="H459" s="18"/>
      <c r="I459" s="56">
        <f t="shared" si="34"/>
        <v>491214.93000000005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201949.85</v>
      </c>
      <c r="G460" s="83">
        <f>SUM(G454:G459)</f>
        <v>289265.08</v>
      </c>
      <c r="H460" s="83">
        <f>SUM(H454:H459)</f>
        <v>0</v>
      </c>
      <c r="I460" s="83">
        <f>SUM(I454:I459)</f>
        <v>491214.93000000005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201949.85</v>
      </c>
      <c r="G461" s="42">
        <f>G452+G460</f>
        <v>289265.08</v>
      </c>
      <c r="H461" s="42">
        <f>H452+H460</f>
        <v>0</v>
      </c>
      <c r="I461" s="42">
        <f>I452+I460</f>
        <v>491214.93000000005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1767884.41</v>
      </c>
      <c r="G465" s="18">
        <v>196988.05</v>
      </c>
      <c r="H465" s="18">
        <v>0</v>
      </c>
      <c r="I465" s="18">
        <v>223573.86</v>
      </c>
      <c r="J465" s="18">
        <v>514124.02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29501576.670000002</v>
      </c>
      <c r="G468" s="18">
        <v>880319.84</v>
      </c>
      <c r="H468" s="18">
        <v>766276.01</v>
      </c>
      <c r="I468" s="18">
        <v>308.83999999999997</v>
      </c>
      <c r="J468" s="18">
        <v>12633.91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>
        <v>129469.77</v>
      </c>
      <c r="G469" s="18"/>
      <c r="H469" s="18"/>
      <c r="I469" s="18"/>
      <c r="J469" s="18">
        <v>6856.66</v>
      </c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29631046.440000001</v>
      </c>
      <c r="G470" s="53">
        <f>SUM(G468:G469)</f>
        <v>880319.84</v>
      </c>
      <c r="H470" s="53">
        <f>SUM(H468:H469)</f>
        <v>766276.01</v>
      </c>
      <c r="I470" s="53">
        <f>SUM(I468:I469)</f>
        <v>308.83999999999997</v>
      </c>
      <c r="J470" s="53">
        <f>SUM(J468:J469)</f>
        <v>19490.57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29270360.879999999</v>
      </c>
      <c r="G472" s="18">
        <v>854588.63</v>
      </c>
      <c r="H472" s="18">
        <v>766276.01</v>
      </c>
      <c r="I472" s="18">
        <v>148363.43</v>
      </c>
      <c r="J472" s="18">
        <v>42399.66</v>
      </c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>
        <v>-0.03</v>
      </c>
      <c r="G473" s="18"/>
      <c r="H473" s="18"/>
      <c r="I473" s="18">
        <v>75519.27</v>
      </c>
      <c r="J473" s="18">
        <v>0</v>
      </c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29270360.849999998</v>
      </c>
      <c r="G474" s="53">
        <f>SUM(G472:G473)</f>
        <v>854588.63</v>
      </c>
      <c r="H474" s="53">
        <f>SUM(H472:H473)</f>
        <v>766276.01</v>
      </c>
      <c r="I474" s="53">
        <f>SUM(I472:I473)</f>
        <v>223882.7</v>
      </c>
      <c r="J474" s="53">
        <f>SUM(J472:J473)</f>
        <v>42399.66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2128570.0000000037</v>
      </c>
      <c r="G476" s="53">
        <f>(G465+G470)- G474</f>
        <v>222719.25999999989</v>
      </c>
      <c r="H476" s="53">
        <f>(H465+H470)- H474</f>
        <v>0</v>
      </c>
      <c r="I476" s="53">
        <f>(I465+I470)- I474</f>
        <v>0</v>
      </c>
      <c r="J476" s="53">
        <f>(J465+J470)- J474</f>
        <v>491214.92999999993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 t="s">
        <v>917</v>
      </c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 t="s">
        <v>920</v>
      </c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 t="s">
        <v>916</v>
      </c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 t="s">
        <v>918</v>
      </c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 t="s">
        <v>919</v>
      </c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>
        <v>5</v>
      </c>
      <c r="G490" s="154">
        <v>20</v>
      </c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 t="s">
        <v>912</v>
      </c>
      <c r="G491" s="155" t="s">
        <v>914</v>
      </c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 t="s">
        <v>913</v>
      </c>
      <c r="G492" s="155" t="s">
        <v>915</v>
      </c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>
        <v>1100000</v>
      </c>
      <c r="G493" s="18">
        <v>20745000</v>
      </c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>
        <v>2.67</v>
      </c>
      <c r="G494" s="18">
        <v>3.2</v>
      </c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>
        <v>458436.28</v>
      </c>
      <c r="G495" s="18">
        <v>18665000</v>
      </c>
      <c r="H495" s="18"/>
      <c r="I495" s="18"/>
      <c r="J495" s="18"/>
      <c r="K495" s="53">
        <f>SUM(F495:J495)</f>
        <v>19123436.280000001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>
        <v>0</v>
      </c>
      <c r="G496" s="18">
        <v>0</v>
      </c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>
        <v>204759.75</v>
      </c>
      <c r="G497" s="18">
        <v>1040000</v>
      </c>
      <c r="H497" s="18"/>
      <c r="I497" s="18"/>
      <c r="J497" s="18"/>
      <c r="K497" s="53">
        <f t="shared" si="35"/>
        <v>1244759.75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>
        <v>253676.53</v>
      </c>
      <c r="G498" s="204">
        <v>17625000</v>
      </c>
      <c r="H498" s="204"/>
      <c r="I498" s="204"/>
      <c r="J498" s="204"/>
      <c r="K498" s="205">
        <f t="shared" si="35"/>
        <v>17878676.530000001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>
        <v>7933.27</v>
      </c>
      <c r="G499" s="18">
        <v>6224382.5</v>
      </c>
      <c r="H499" s="18"/>
      <c r="I499" s="18"/>
      <c r="J499" s="18"/>
      <c r="K499" s="53">
        <f t="shared" si="35"/>
        <v>6232315.7699999996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261609.8</v>
      </c>
      <c r="G500" s="42">
        <f>SUM(G498:G499)</f>
        <v>23849382.5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24110992.300000001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>
        <v>210226.84</v>
      </c>
      <c r="G501" s="204">
        <v>1040000</v>
      </c>
      <c r="H501" s="204"/>
      <c r="I501" s="204"/>
      <c r="J501" s="204"/>
      <c r="K501" s="205">
        <f t="shared" si="35"/>
        <v>1250226.8400000001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>
        <v>6773.16</v>
      </c>
      <c r="G502" s="18">
        <v>748155</v>
      </c>
      <c r="H502" s="18"/>
      <c r="I502" s="18"/>
      <c r="J502" s="18"/>
      <c r="K502" s="53">
        <f t="shared" si="35"/>
        <v>754928.16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217000</v>
      </c>
      <c r="G503" s="42">
        <f>SUM(G501:G502)</f>
        <v>1788155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2005155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>
        <v>522614.67</v>
      </c>
      <c r="G507" s="144"/>
      <c r="H507" s="144"/>
      <c r="I507" s="144">
        <v>556035.72</v>
      </c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0">
        <v>1817732.4556</v>
      </c>
      <c r="G521" s="10">
        <v>629951.62560000003</v>
      </c>
      <c r="H521" s="10">
        <v>1179862.9748000002</v>
      </c>
      <c r="I521" s="10">
        <v>24889.416399999998</v>
      </c>
      <c r="J521" s="10">
        <v>9351.7003999999997</v>
      </c>
      <c r="K521" s="10">
        <v>9088.8868000000002</v>
      </c>
      <c r="L521" s="88">
        <f>SUM(F521:K521)</f>
        <v>3670877.0595999998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>
        <v>0</v>
      </c>
      <c r="G522" s="18">
        <v>0</v>
      </c>
      <c r="H522" s="18">
        <v>0</v>
      </c>
      <c r="I522" s="18">
        <v>0</v>
      </c>
      <c r="J522" s="18">
        <v>0</v>
      </c>
      <c r="K522" s="18">
        <v>0</v>
      </c>
      <c r="L522" s="88">
        <f>SUM(F522:K522)</f>
        <v>0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0">
        <v>798125.88439999998</v>
      </c>
      <c r="G523" s="10">
        <v>237929.0944</v>
      </c>
      <c r="H523" s="10">
        <v>555229.63520000002</v>
      </c>
      <c r="I523" s="10">
        <v>16272.2436</v>
      </c>
      <c r="J523" s="10">
        <v>3470.7496000000001</v>
      </c>
      <c r="K523" s="10">
        <v>4277.1232</v>
      </c>
      <c r="L523" s="88">
        <f>SUM(F523:K523)</f>
        <v>1615304.7304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2615858.34</v>
      </c>
      <c r="G524" s="108">
        <f t="shared" ref="G524:L524" si="36">SUM(G521:G523)</f>
        <v>867880.72</v>
      </c>
      <c r="H524" s="108">
        <f t="shared" si="36"/>
        <v>1735092.6100000003</v>
      </c>
      <c r="I524" s="108">
        <f t="shared" si="36"/>
        <v>41161.659999999996</v>
      </c>
      <c r="J524" s="108">
        <f t="shared" si="36"/>
        <v>12822.45</v>
      </c>
      <c r="K524" s="108">
        <f t="shared" si="36"/>
        <v>13366.01</v>
      </c>
      <c r="L524" s="89">
        <f t="shared" si="36"/>
        <v>5286181.79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0">
        <v>311478.66480000003</v>
      </c>
      <c r="G526" s="10">
        <v>132055.69399999999</v>
      </c>
      <c r="H526" s="10">
        <v>193635.01680000001</v>
      </c>
      <c r="I526" s="10">
        <v>4298.1872000000003</v>
      </c>
      <c r="J526" s="10">
        <v>1699.3939999999998</v>
      </c>
      <c r="K526" s="10">
        <v>203.32</v>
      </c>
      <c r="L526" s="88">
        <f>SUM(F526:K526)</f>
        <v>643370.27679999999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>
        <v>0</v>
      </c>
      <c r="G527" s="18">
        <v>0</v>
      </c>
      <c r="H527" s="18">
        <v>0</v>
      </c>
      <c r="I527" s="18">
        <v>0</v>
      </c>
      <c r="J527" s="18">
        <v>0</v>
      </c>
      <c r="K527" s="18">
        <v>0</v>
      </c>
      <c r="L527" s="88">
        <f>SUM(F527:K527)</f>
        <v>0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0">
        <v>146578.19519999999</v>
      </c>
      <c r="G528" s="10">
        <v>62143.856</v>
      </c>
      <c r="H528" s="10">
        <v>89348.593200000003</v>
      </c>
      <c r="I528" s="10">
        <v>3114.6028000000001</v>
      </c>
      <c r="J528" s="10">
        <v>6940.6360000000004</v>
      </c>
      <c r="K528" s="10">
        <v>95.68</v>
      </c>
      <c r="L528" s="88">
        <f>SUM(F528:K528)</f>
        <v>308221.56319999998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458056.86</v>
      </c>
      <c r="G529" s="89">
        <f t="shared" ref="G529:L529" si="37">SUM(G526:G528)</f>
        <v>194199.55</v>
      </c>
      <c r="H529" s="89">
        <f t="shared" si="37"/>
        <v>282983.61</v>
      </c>
      <c r="I529" s="89">
        <f t="shared" si="37"/>
        <v>7412.7900000000009</v>
      </c>
      <c r="J529" s="89">
        <f t="shared" si="37"/>
        <v>8640.0300000000007</v>
      </c>
      <c r="K529" s="89">
        <f t="shared" si="37"/>
        <v>299</v>
      </c>
      <c r="L529" s="89">
        <f t="shared" si="37"/>
        <v>951591.84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0">
        <v>150129.60440000001</v>
      </c>
      <c r="G531" s="10">
        <v>75217.866800000003</v>
      </c>
      <c r="H531" s="10">
        <v>3583.7631999999999</v>
      </c>
      <c r="I531" s="10">
        <v>820.30439999999999</v>
      </c>
      <c r="J531" s="10">
        <v>870.83519999999999</v>
      </c>
      <c r="K531" s="10">
        <v>1442.96</v>
      </c>
      <c r="L531" s="88">
        <f>SUM(F531:K531)</f>
        <v>232065.334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>
        <v>0</v>
      </c>
      <c r="G532" s="18">
        <v>0</v>
      </c>
      <c r="H532" s="18">
        <v>0</v>
      </c>
      <c r="I532" s="18">
        <v>0</v>
      </c>
      <c r="J532" s="18">
        <v>0</v>
      </c>
      <c r="K532" s="18">
        <v>0</v>
      </c>
      <c r="L532" s="88">
        <f>SUM(F532:K532)</f>
        <v>0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0">
        <v>70649.225600000005</v>
      </c>
      <c r="G533" s="10">
        <v>35396.643199999999</v>
      </c>
      <c r="H533" s="10">
        <v>1686.4767999999999</v>
      </c>
      <c r="I533" s="10">
        <v>386.0256</v>
      </c>
      <c r="J533" s="10">
        <v>409.8048</v>
      </c>
      <c r="K533" s="10">
        <v>679.04</v>
      </c>
      <c r="L533" s="88">
        <f>SUM(F533:K533)</f>
        <v>109207.21599999999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220778.83000000002</v>
      </c>
      <c r="G534" s="89">
        <f t="shared" ref="G534:L534" si="38">SUM(G531:G533)</f>
        <v>110614.51000000001</v>
      </c>
      <c r="H534" s="89">
        <f t="shared" si="38"/>
        <v>5270.24</v>
      </c>
      <c r="I534" s="89">
        <f t="shared" si="38"/>
        <v>1206.33</v>
      </c>
      <c r="J534" s="89">
        <f t="shared" si="38"/>
        <v>1280.6399999999999</v>
      </c>
      <c r="K534" s="89">
        <f t="shared" si="38"/>
        <v>2122</v>
      </c>
      <c r="L534" s="89">
        <f t="shared" si="38"/>
        <v>341272.55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0">
        <v>0</v>
      </c>
      <c r="G541" s="10">
        <v>0</v>
      </c>
      <c r="H541" s="10">
        <v>265506.64</v>
      </c>
      <c r="I541" s="10">
        <v>0</v>
      </c>
      <c r="J541" s="10">
        <v>0</v>
      </c>
      <c r="K541" s="10">
        <v>0</v>
      </c>
      <c r="L541" s="88">
        <f>SUM(F541:K541)</f>
        <v>265506.64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>
        <v>0</v>
      </c>
      <c r="G542" s="18">
        <v>0</v>
      </c>
      <c r="H542" s="18">
        <v>0</v>
      </c>
      <c r="I542" s="18">
        <v>0</v>
      </c>
      <c r="J542" s="18">
        <v>0</v>
      </c>
      <c r="K542" s="18">
        <v>0</v>
      </c>
      <c r="L542" s="88">
        <f>SUM(F542:K542)</f>
        <v>0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0">
        <v>0</v>
      </c>
      <c r="G543" s="10">
        <v>0</v>
      </c>
      <c r="H543" s="10">
        <v>235498.53</v>
      </c>
      <c r="I543" s="10">
        <v>0</v>
      </c>
      <c r="J543" s="10">
        <v>0</v>
      </c>
      <c r="K543" s="10">
        <v>0</v>
      </c>
      <c r="L543" s="88">
        <f>SUM(F543:K543)</f>
        <v>235498.53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501005.17000000004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501005.17000000004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3294694.03</v>
      </c>
      <c r="G545" s="89">
        <f t="shared" ref="G545:L545" si="41">G524+G529+G534+G539+G544</f>
        <v>1172694.78</v>
      </c>
      <c r="H545" s="89">
        <f t="shared" si="41"/>
        <v>2524351.6300000004</v>
      </c>
      <c r="I545" s="89">
        <f t="shared" si="41"/>
        <v>49780.78</v>
      </c>
      <c r="J545" s="89">
        <f t="shared" si="41"/>
        <v>22743.120000000003</v>
      </c>
      <c r="K545" s="89">
        <f t="shared" si="41"/>
        <v>15787.01</v>
      </c>
      <c r="L545" s="89">
        <f t="shared" si="41"/>
        <v>7080051.3499999996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3670877.0595999998</v>
      </c>
      <c r="G549" s="87">
        <f>L526</f>
        <v>643370.27679999999</v>
      </c>
      <c r="H549" s="87">
        <f>L531</f>
        <v>232065.334</v>
      </c>
      <c r="I549" s="87">
        <f>L536</f>
        <v>0</v>
      </c>
      <c r="J549" s="87">
        <f>L541</f>
        <v>265506.64</v>
      </c>
      <c r="K549" s="87">
        <f>SUM(F549:J549)</f>
        <v>4811819.3103999989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1615304.7304</v>
      </c>
      <c r="G551" s="87">
        <f>L528</f>
        <v>308221.56319999998</v>
      </c>
      <c r="H551" s="87">
        <f>L533</f>
        <v>109207.21599999999</v>
      </c>
      <c r="I551" s="87">
        <f>L538</f>
        <v>0</v>
      </c>
      <c r="J551" s="87">
        <f>L543</f>
        <v>235498.53</v>
      </c>
      <c r="K551" s="87">
        <f>SUM(F551:J551)</f>
        <v>2268232.0395999998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5286181.79</v>
      </c>
      <c r="G552" s="89">
        <f t="shared" si="42"/>
        <v>951591.84</v>
      </c>
      <c r="H552" s="89">
        <f t="shared" si="42"/>
        <v>341272.55</v>
      </c>
      <c r="I552" s="89">
        <f t="shared" si="42"/>
        <v>0</v>
      </c>
      <c r="J552" s="89">
        <f t="shared" si="42"/>
        <v>501005.17000000004</v>
      </c>
      <c r="K552" s="89">
        <f t="shared" si="42"/>
        <v>7080051.3499999987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0">
        <v>46977.847600000001</v>
      </c>
      <c r="G562" s="10">
        <v>26045.978800000001</v>
      </c>
      <c r="H562" s="10">
        <v>382.94880000000001</v>
      </c>
      <c r="I562" s="10">
        <v>326.5428</v>
      </c>
      <c r="J562" s="10">
        <v>0</v>
      </c>
      <c r="K562" s="10">
        <v>0</v>
      </c>
      <c r="L562" s="88">
        <f>SUM(F562:K562)</f>
        <v>73733.317999999999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0">
        <v>0</v>
      </c>
      <c r="G563" s="10">
        <v>0</v>
      </c>
      <c r="H563" s="10">
        <v>0</v>
      </c>
      <c r="I563" s="10">
        <v>0</v>
      </c>
      <c r="J563" s="10">
        <v>0</v>
      </c>
      <c r="K563" s="10">
        <v>0</v>
      </c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0">
        <v>22107.222399999999</v>
      </c>
      <c r="G564" s="10">
        <v>12256.931200000001</v>
      </c>
      <c r="H564" s="10">
        <v>180.21119999999999</v>
      </c>
      <c r="I564" s="10">
        <v>153.66720000000001</v>
      </c>
      <c r="J564" s="10">
        <v>0</v>
      </c>
      <c r="K564" s="10">
        <v>0</v>
      </c>
      <c r="L564" s="88">
        <f>SUM(F564:K564)</f>
        <v>34698.031999999999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69085.070000000007</v>
      </c>
      <c r="G565" s="89">
        <f t="shared" si="44"/>
        <v>38302.910000000003</v>
      </c>
      <c r="H565" s="89">
        <f t="shared" si="44"/>
        <v>563.16</v>
      </c>
      <c r="I565" s="89">
        <f t="shared" si="44"/>
        <v>480.21000000000004</v>
      </c>
      <c r="J565" s="89">
        <f t="shared" si="44"/>
        <v>0</v>
      </c>
      <c r="K565" s="89">
        <f t="shared" si="44"/>
        <v>0</v>
      </c>
      <c r="L565" s="89">
        <f t="shared" si="44"/>
        <v>108431.35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69085.070000000007</v>
      </c>
      <c r="G571" s="89">
        <f t="shared" ref="G571:L571" si="46">G560+G565+G570</f>
        <v>38302.910000000003</v>
      </c>
      <c r="H571" s="89">
        <f t="shared" si="46"/>
        <v>563.16</v>
      </c>
      <c r="I571" s="89">
        <f t="shared" si="46"/>
        <v>480.21000000000004</v>
      </c>
      <c r="J571" s="89">
        <f t="shared" si="46"/>
        <v>0</v>
      </c>
      <c r="K571" s="89">
        <f t="shared" si="46"/>
        <v>0</v>
      </c>
      <c r="L571" s="89">
        <f t="shared" si="46"/>
        <v>108431.35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>
        <v>17068.400000000001</v>
      </c>
      <c r="G579" s="18"/>
      <c r="H579" s="18">
        <v>0</v>
      </c>
      <c r="I579" s="87">
        <f t="shared" si="47"/>
        <v>17068.400000000001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>
        <v>584218.98</v>
      </c>
      <c r="G582" s="18"/>
      <c r="H582" s="18">
        <v>527904.35</v>
      </c>
      <c r="I582" s="87">
        <f t="shared" si="47"/>
        <v>1112123.33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>
        <v>83490.92</v>
      </c>
      <c r="G583" s="18"/>
      <c r="H583" s="18">
        <v>305204.53999999998</v>
      </c>
      <c r="I583" s="87">
        <f t="shared" si="47"/>
        <v>388695.45999999996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>
        <v>50150.34</v>
      </c>
      <c r="I584" s="87">
        <f t="shared" si="47"/>
        <v>50150.34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756312.6</v>
      </c>
      <c r="I591" s="18"/>
      <c r="J591" s="18">
        <v>355911.81</v>
      </c>
      <c r="K591" s="104">
        <f t="shared" ref="K591:K597" si="48">SUM(H591:J591)</f>
        <v>1112224.4099999999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265506.64</v>
      </c>
      <c r="I592" s="18"/>
      <c r="J592" s="18">
        <v>235498.53</v>
      </c>
      <c r="K592" s="104">
        <f t="shared" si="48"/>
        <v>501005.17000000004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>
        <v>94627.6</v>
      </c>
      <c r="K593" s="104">
        <f t="shared" si="48"/>
        <v>94627.6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>
        <v>18530.68</v>
      </c>
      <c r="I594" s="18"/>
      <c r="J594" s="18">
        <v>70381.5</v>
      </c>
      <c r="K594" s="104">
        <f t="shared" si="48"/>
        <v>88912.18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/>
      <c r="I595" s="18"/>
      <c r="J595" s="18">
        <v>1737.33</v>
      </c>
      <c r="K595" s="104">
        <f t="shared" si="48"/>
        <v>1737.33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1040349.92</v>
      </c>
      <c r="I598" s="108">
        <f>SUM(I591:I597)</f>
        <v>0</v>
      </c>
      <c r="J598" s="108">
        <f>SUM(J591:J597)</f>
        <v>758156.7699999999</v>
      </c>
      <c r="K598" s="108">
        <f>SUM(K591:K597)</f>
        <v>1798506.6900000002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v>274658.94</v>
      </c>
      <c r="I604" s="18"/>
      <c r="J604" s="18">
        <v>181875.33</v>
      </c>
      <c r="K604" s="104">
        <f>SUM(H604:J604)</f>
        <v>456534.27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274658.94</v>
      </c>
      <c r="I605" s="108">
        <f>SUM(I602:I604)</f>
        <v>0</v>
      </c>
      <c r="J605" s="108">
        <f>SUM(J602:J604)</f>
        <v>181875.33</v>
      </c>
      <c r="K605" s="108">
        <f>SUM(K602:K604)</f>
        <v>456534.27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0">
        <v>46245.752800000002</v>
      </c>
      <c r="G611" s="10">
        <v>8018.4444000000003</v>
      </c>
      <c r="H611" s="10">
        <v>155178.652</v>
      </c>
      <c r="I611" s="10">
        <v>390.01400000000001</v>
      </c>
      <c r="J611" s="10">
        <v>0</v>
      </c>
      <c r="K611" s="10">
        <v>6.8</v>
      </c>
      <c r="L611" s="88">
        <f>SUM(F611:K611)</f>
        <v>209839.66319999998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0">
        <v>0</v>
      </c>
      <c r="G612" s="10">
        <v>0</v>
      </c>
      <c r="H612" s="10">
        <v>0</v>
      </c>
      <c r="I612" s="10">
        <v>0</v>
      </c>
      <c r="J612" s="10">
        <v>0</v>
      </c>
      <c r="K612" s="10">
        <v>0</v>
      </c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0">
        <v>21762.707200000001</v>
      </c>
      <c r="G613" s="10">
        <v>3773.3856000000001</v>
      </c>
      <c r="H613" s="10">
        <v>73025.248000000007</v>
      </c>
      <c r="I613" s="10">
        <v>183.536</v>
      </c>
      <c r="J613" s="10">
        <v>0</v>
      </c>
      <c r="K613" s="10">
        <v>3.2</v>
      </c>
      <c r="L613" s="88">
        <f>SUM(F613:K613)</f>
        <v>98748.076799999995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68008.460000000006</v>
      </c>
      <c r="G614" s="108">
        <f t="shared" si="49"/>
        <v>11791.83</v>
      </c>
      <c r="H614" s="108">
        <f t="shared" si="49"/>
        <v>228203.90000000002</v>
      </c>
      <c r="I614" s="108">
        <f t="shared" si="49"/>
        <v>573.54999999999995</v>
      </c>
      <c r="J614" s="108">
        <f t="shared" si="49"/>
        <v>0</v>
      </c>
      <c r="K614" s="108">
        <f t="shared" si="49"/>
        <v>10</v>
      </c>
      <c r="L614" s="89">
        <f t="shared" si="49"/>
        <v>308587.74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2643369.89</v>
      </c>
      <c r="H617" s="109">
        <f>SUM(F52)</f>
        <v>2643369.89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240307.69</v>
      </c>
      <c r="H618" s="109">
        <f>SUM(G52)</f>
        <v>240307.69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234516.66</v>
      </c>
      <c r="H619" s="109">
        <f>SUM(H52)</f>
        <v>234516.66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491214.93000000005</v>
      </c>
      <c r="H621" s="109">
        <f>SUM(J52)</f>
        <v>491214.93000000005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2128570</v>
      </c>
      <c r="H622" s="109">
        <f>F476</f>
        <v>2128570.0000000037</v>
      </c>
      <c r="I622" s="121" t="s">
        <v>101</v>
      </c>
      <c r="J622" s="109">
        <f t="shared" ref="J622:J655" si="50">G622-H622</f>
        <v>-3.7252902984619141E-9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222719.26</v>
      </c>
      <c r="H623" s="109">
        <f>G476</f>
        <v>222719.25999999989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491214.93000000005</v>
      </c>
      <c r="H626" s="109">
        <f>J476</f>
        <v>491214.92999999993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29501576.670000002</v>
      </c>
      <c r="H627" s="104">
        <f>SUM(F468)</f>
        <v>29501576.670000002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880319.84000000008</v>
      </c>
      <c r="H628" s="104">
        <f>SUM(G468)</f>
        <v>880319.84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766276.01000000013</v>
      </c>
      <c r="H629" s="104">
        <f>SUM(H468)</f>
        <v>766276.01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308.83999999999997</v>
      </c>
      <c r="H630" s="104">
        <f>SUM(I468)</f>
        <v>308.83999999999997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12633.91</v>
      </c>
      <c r="H631" s="104">
        <f>SUM(J468)</f>
        <v>12633.91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29270360.880000003</v>
      </c>
      <c r="H632" s="104">
        <f>SUM(F472)</f>
        <v>29270360.879999999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766276.01</v>
      </c>
      <c r="H633" s="104">
        <f>SUM(H472)</f>
        <v>766276.01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406619.81999999995</v>
      </c>
      <c r="H634" s="104">
        <f>I369</f>
        <v>406619.82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854588.62999999989</v>
      </c>
      <c r="H635" s="104">
        <f>SUM(G472)</f>
        <v>854588.63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148363.43</v>
      </c>
      <c r="H636" s="104">
        <f>SUM(I472)</f>
        <v>148363.43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12633.91</v>
      </c>
      <c r="H637" s="164">
        <f>SUM(J468)</f>
        <v>12633.91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42399.66</v>
      </c>
      <c r="H638" s="164">
        <f>SUM(J472)</f>
        <v>42399.66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201949.85</v>
      </c>
      <c r="H639" s="104">
        <f>SUM(F461)</f>
        <v>201949.85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289265.08</v>
      </c>
      <c r="H640" s="104">
        <f>SUM(G461)</f>
        <v>289265.08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491214.93000000005</v>
      </c>
      <c r="H642" s="104">
        <f>SUM(I461)</f>
        <v>491214.93000000005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12633.91</v>
      </c>
      <c r="H644" s="104">
        <f>H408</f>
        <v>12633.91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0</v>
      </c>
      <c r="H645" s="104">
        <f>G408</f>
        <v>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12633.91</v>
      </c>
      <c r="H646" s="104">
        <f>L408</f>
        <v>12633.91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1798506.6900000002</v>
      </c>
      <c r="H647" s="104">
        <f>L208+L226+L244</f>
        <v>1798506.69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456534.27</v>
      </c>
      <c r="H648" s="104">
        <f>(J257+J338)-(J255+J336)</f>
        <v>456534.27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1040349.9236000001</v>
      </c>
      <c r="H649" s="104">
        <f>H598</f>
        <v>1040349.92</v>
      </c>
      <c r="I649" s="140" t="s">
        <v>386</v>
      </c>
      <c r="J649" s="109">
        <f t="shared" si="50"/>
        <v>3.6000000545755029E-3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0</v>
      </c>
      <c r="H650" s="104">
        <f>I598</f>
        <v>0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758156.76639999996</v>
      </c>
      <c r="H651" s="104">
        <f>J598</f>
        <v>758156.7699999999</v>
      </c>
      <c r="I651" s="140" t="s">
        <v>388</v>
      </c>
      <c r="J651" s="109">
        <f t="shared" si="50"/>
        <v>-3.599999938160181E-3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0</v>
      </c>
      <c r="H652" s="104">
        <f>K263+K345</f>
        <v>0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0</v>
      </c>
      <c r="H655" s="104">
        <f>K266+K347</f>
        <v>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17094551.361199997</v>
      </c>
      <c r="G660" s="19">
        <f>(L229+L309+L359)</f>
        <v>0</v>
      </c>
      <c r="H660" s="19">
        <f>(L247+L328+L360)</f>
        <v>10992519.7388</v>
      </c>
      <c r="I660" s="19">
        <f>SUM(F660:H660)</f>
        <v>28087071.099999998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429814.90861644543</v>
      </c>
      <c r="G661" s="19">
        <f>(L359/IF(SUM(L358:L360)=0,1,SUM(L358:L360))*(SUM(G97:G110)))</f>
        <v>0</v>
      </c>
      <c r="H661" s="19">
        <f>(L360/IF(SUM(L358:L360)=0,1,SUM(L358:L360))*(SUM(G97:G110)))</f>
        <v>261018.87138355459</v>
      </c>
      <c r="I661" s="19">
        <f>SUM(F661:H661)</f>
        <v>690833.78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1040349.9236000001</v>
      </c>
      <c r="G662" s="19">
        <f>(L226+L306)-(J226+J306)</f>
        <v>0</v>
      </c>
      <c r="H662" s="19">
        <f>(L244+L325)-(J244+J325)</f>
        <v>758156.76639999996</v>
      </c>
      <c r="I662" s="19">
        <f>SUM(F662:H662)</f>
        <v>1798506.69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1169276.9032000001</v>
      </c>
      <c r="G663" s="199">
        <f>SUM(G575:G587)+SUM(I602:I604)+L612</f>
        <v>0</v>
      </c>
      <c r="H663" s="199">
        <f>SUM(H575:H587)+SUM(J602:J604)+L613</f>
        <v>1163882.6367999997</v>
      </c>
      <c r="I663" s="19">
        <f>SUM(F663:H663)</f>
        <v>2333159.54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14455109.625783551</v>
      </c>
      <c r="G664" s="19">
        <f>G660-SUM(G661:G663)</f>
        <v>0</v>
      </c>
      <c r="H664" s="19">
        <f>H660-SUM(H661:H663)</f>
        <v>8809461.4642164465</v>
      </c>
      <c r="I664" s="19">
        <f>I660-SUM(I661:I663)</f>
        <v>23264571.089999996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1205.43</v>
      </c>
      <c r="G665" s="248">
        <v>0</v>
      </c>
      <c r="H665" s="248">
        <v>650.04</v>
      </c>
      <c r="I665" s="19">
        <f>SUM(F665:H665)</f>
        <v>1855.47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11991.66</v>
      </c>
      <c r="G667" s="19" t="e">
        <f>ROUND(G664/G665,2)</f>
        <v>#DIV/0!</v>
      </c>
      <c r="H667" s="19">
        <f>ROUND(H664/H665,2)</f>
        <v>13552.18</v>
      </c>
      <c r="I667" s="19">
        <f>ROUND(I664/I665,2)</f>
        <v>12538.37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>
        <v>-15.39</v>
      </c>
      <c r="I670" s="19">
        <f>SUM(F670:H670)</f>
        <v>-15.39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11991.66</v>
      </c>
      <c r="G672" s="19" t="e">
        <f>ROUND((G664+G669)/(G665+G670),2)</f>
        <v>#DIV/0!</v>
      </c>
      <c r="H672" s="19">
        <f>ROUND((H664+H669)/(H665+H670),2)</f>
        <v>13880.82</v>
      </c>
      <c r="I672" s="19">
        <f>ROUND((I664+I669)/(I665+I670),2)</f>
        <v>12643.24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B39" sqref="B3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PELHAM SCHOOL DISTRICT, SAU28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6467828.4300000006</v>
      </c>
      <c r="C9" s="229">
        <f>'DOE25'!G197+'DOE25'!G215+'DOE25'!G233+'DOE25'!G276+'DOE25'!G295+'DOE25'!G314</f>
        <v>3165262.7399999993</v>
      </c>
    </row>
    <row r="10" spans="1:3" x14ac:dyDescent="0.2">
      <c r="A10" t="s">
        <v>773</v>
      </c>
      <c r="B10" s="240">
        <v>6163870.6600000001</v>
      </c>
      <c r="C10" s="240">
        <v>3070310.95</v>
      </c>
    </row>
    <row r="11" spans="1:3" x14ac:dyDescent="0.2">
      <c r="A11" t="s">
        <v>774</v>
      </c>
      <c r="B11" s="240">
        <v>180420.87</v>
      </c>
      <c r="C11" s="240">
        <v>84071.27</v>
      </c>
    </row>
    <row r="12" spans="1:3" x14ac:dyDescent="0.2">
      <c r="A12" t="s">
        <v>775</v>
      </c>
      <c r="B12" s="240">
        <v>123536.9</v>
      </c>
      <c r="C12" s="240">
        <v>10880.52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6467828.4300000006</v>
      </c>
      <c r="C13" s="231">
        <f>SUM(C10:C12)</f>
        <v>3165262.74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2684943.4099999997</v>
      </c>
      <c r="C18" s="229">
        <f>'DOE25'!G198+'DOE25'!G216+'DOE25'!G234+'DOE25'!G277+'DOE25'!G296+'DOE25'!G315</f>
        <v>906183.63</v>
      </c>
    </row>
    <row r="19" spans="1:3" x14ac:dyDescent="0.2">
      <c r="A19" t="s">
        <v>773</v>
      </c>
      <c r="B19" s="240">
        <v>1632208</v>
      </c>
      <c r="C19" s="240">
        <v>744829.69</v>
      </c>
    </row>
    <row r="20" spans="1:3" x14ac:dyDescent="0.2">
      <c r="A20" t="s">
        <v>774</v>
      </c>
      <c r="B20" s="240">
        <v>1021822.96</v>
      </c>
      <c r="C20" s="240">
        <v>157385.87</v>
      </c>
    </row>
    <row r="21" spans="1:3" x14ac:dyDescent="0.2">
      <c r="A21" t="s">
        <v>775</v>
      </c>
      <c r="B21" s="240">
        <v>30912.45</v>
      </c>
      <c r="C21" s="240">
        <v>3968.07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2684943.41</v>
      </c>
      <c r="C22" s="231">
        <f>SUM(C19:C21)</f>
        <v>906183.62999999989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>
        <v>0</v>
      </c>
      <c r="C28" s="240">
        <v>0</v>
      </c>
    </row>
    <row r="29" spans="1:3" x14ac:dyDescent="0.2">
      <c r="A29" t="s">
        <v>774</v>
      </c>
      <c r="B29" s="240">
        <v>0</v>
      </c>
      <c r="C29" s="240">
        <v>0</v>
      </c>
    </row>
    <row r="30" spans="1:3" x14ac:dyDescent="0.2">
      <c r="A30" t="s">
        <v>775</v>
      </c>
      <c r="B30" s="240">
        <v>0</v>
      </c>
      <c r="C30" s="240">
        <v>0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352359.75</v>
      </c>
      <c r="C36" s="235">
        <f>'DOE25'!G200+'DOE25'!G218+'DOE25'!G236+'DOE25'!G279+'DOE25'!G298+'DOE25'!G317</f>
        <v>102486.43</v>
      </c>
    </row>
    <row r="37" spans="1:3" x14ac:dyDescent="0.2">
      <c r="A37" t="s">
        <v>773</v>
      </c>
      <c r="B37" s="240">
        <v>113508.7</v>
      </c>
      <c r="C37" s="240">
        <v>44912</v>
      </c>
    </row>
    <row r="38" spans="1:3" x14ac:dyDescent="0.2">
      <c r="A38" t="s">
        <v>774</v>
      </c>
      <c r="B38" s="240">
        <v>0</v>
      </c>
      <c r="C38" s="240">
        <v>0</v>
      </c>
    </row>
    <row r="39" spans="1:3" x14ac:dyDescent="0.2">
      <c r="A39" t="s">
        <v>775</v>
      </c>
      <c r="B39" s="240">
        <v>238851.05</v>
      </c>
      <c r="C39" s="240">
        <v>57574.43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352359.75</v>
      </c>
      <c r="C40" s="231">
        <f>SUM(C37:C39)</f>
        <v>102486.43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PELHAM SCHOOL DISTRICT, SAU28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15765005.379999999</v>
      </c>
      <c r="D5" s="20">
        <f>SUM('DOE25'!L197:L200)+SUM('DOE25'!L215:L218)+SUM('DOE25'!L233:L236)-F5-G5</f>
        <v>15601505.34</v>
      </c>
      <c r="E5" s="243"/>
      <c r="F5" s="255">
        <f>SUM('DOE25'!J197:J200)+SUM('DOE25'!J215:J218)+SUM('DOE25'!J233:J236)</f>
        <v>112236.78</v>
      </c>
      <c r="G5" s="53">
        <f>SUM('DOE25'!K197:K200)+SUM('DOE25'!K215:K218)+SUM('DOE25'!K233:K236)</f>
        <v>51263.26</v>
      </c>
      <c r="H5" s="259"/>
    </row>
    <row r="6" spans="1:9" x14ac:dyDescent="0.2">
      <c r="A6" s="32">
        <v>2100</v>
      </c>
      <c r="B6" t="s">
        <v>795</v>
      </c>
      <c r="C6" s="245">
        <f t="shared" si="0"/>
        <v>2179775.54</v>
      </c>
      <c r="D6" s="20">
        <f>'DOE25'!L202+'DOE25'!L220+'DOE25'!L238-F6-G6</f>
        <v>2164546.4</v>
      </c>
      <c r="E6" s="243"/>
      <c r="F6" s="255">
        <f>'DOE25'!J202+'DOE25'!J220+'DOE25'!J238</f>
        <v>12512.79</v>
      </c>
      <c r="G6" s="53">
        <f>'DOE25'!K202+'DOE25'!K220+'DOE25'!K238</f>
        <v>2716.35</v>
      </c>
      <c r="H6" s="259"/>
    </row>
    <row r="7" spans="1:9" x14ac:dyDescent="0.2">
      <c r="A7" s="32">
        <v>2200</v>
      </c>
      <c r="B7" t="s">
        <v>828</v>
      </c>
      <c r="C7" s="245">
        <f t="shared" si="0"/>
        <v>809197.73999999987</v>
      </c>
      <c r="D7" s="20">
        <f>'DOE25'!L203+'DOE25'!L221+'DOE25'!L239-F7-G7</f>
        <v>763857.93999999983</v>
      </c>
      <c r="E7" s="243"/>
      <c r="F7" s="255">
        <f>'DOE25'!J203+'DOE25'!J221+'DOE25'!J239</f>
        <v>40145.129999999997</v>
      </c>
      <c r="G7" s="53">
        <f>'DOE25'!K203+'DOE25'!K221+'DOE25'!K239</f>
        <v>5194.67</v>
      </c>
      <c r="H7" s="259"/>
    </row>
    <row r="8" spans="1:9" x14ac:dyDescent="0.2">
      <c r="A8" s="32">
        <v>2300</v>
      </c>
      <c r="B8" t="s">
        <v>796</v>
      </c>
      <c r="C8" s="245">
        <f t="shared" si="0"/>
        <v>306082.60999999987</v>
      </c>
      <c r="D8" s="243"/>
      <c r="E8" s="20">
        <f>'DOE25'!L204+'DOE25'!L222+'DOE25'!L240-F8-G8-D9-D11</f>
        <v>281964.54999999987</v>
      </c>
      <c r="F8" s="255">
        <f>'DOE25'!J204+'DOE25'!J222+'DOE25'!J240</f>
        <v>1280.6399999999999</v>
      </c>
      <c r="G8" s="53">
        <f>'DOE25'!K204+'DOE25'!K222+'DOE25'!K240</f>
        <v>22837.42</v>
      </c>
      <c r="H8" s="259"/>
    </row>
    <row r="9" spans="1:9" x14ac:dyDescent="0.2">
      <c r="A9" s="32">
        <v>2310</v>
      </c>
      <c r="B9" t="s">
        <v>812</v>
      </c>
      <c r="C9" s="245">
        <f t="shared" si="0"/>
        <v>78195.86</v>
      </c>
      <c r="D9" s="244">
        <v>78195.86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19323</v>
      </c>
      <c r="D10" s="243"/>
      <c r="E10" s="244">
        <v>19323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341272.55</v>
      </c>
      <c r="D11" s="244">
        <v>341272.55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1491244.44</v>
      </c>
      <c r="D12" s="20">
        <f>'DOE25'!L205+'DOE25'!L223+'DOE25'!L241-F12-G12</f>
        <v>1464891.6700000002</v>
      </c>
      <c r="E12" s="243"/>
      <c r="F12" s="255">
        <f>'DOE25'!J205+'DOE25'!J223+'DOE25'!J241</f>
        <v>958.89</v>
      </c>
      <c r="G12" s="53">
        <f>'DOE25'!K205+'DOE25'!K223+'DOE25'!K241</f>
        <v>25393.88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392378.58</v>
      </c>
      <c r="D13" s="243"/>
      <c r="E13" s="20">
        <f>'DOE25'!L206+'DOE25'!L224+'DOE25'!L242-F13-G13</f>
        <v>386112.93</v>
      </c>
      <c r="F13" s="255">
        <f>'DOE25'!J206+'DOE25'!J224+'DOE25'!J242</f>
        <v>405</v>
      </c>
      <c r="G13" s="53">
        <f>'DOE25'!K206+'DOE25'!K224+'DOE25'!K242</f>
        <v>5860.65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2348657.4499999997</v>
      </c>
      <c r="D14" s="20">
        <f>'DOE25'!L207+'DOE25'!L225+'DOE25'!L243-F14-G14</f>
        <v>2298797.6599999997</v>
      </c>
      <c r="E14" s="243"/>
      <c r="F14" s="255">
        <f>'DOE25'!J207+'DOE25'!J225+'DOE25'!J243</f>
        <v>49684.79</v>
      </c>
      <c r="G14" s="53">
        <f>'DOE25'!K207+'DOE25'!K225+'DOE25'!K243</f>
        <v>175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1798506.69</v>
      </c>
      <c r="D15" s="20">
        <f>'DOE25'!L208+'DOE25'!L226+'DOE25'!L244-F15-G15</f>
        <v>1798506.69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955889.61999999988</v>
      </c>
      <c r="D16" s="243"/>
      <c r="E16" s="20">
        <f>'DOE25'!L209+'DOE25'!L227+'DOE25'!L245-F16-G16</f>
        <v>757905.61999999988</v>
      </c>
      <c r="F16" s="255">
        <f>'DOE25'!J209+'DOE25'!J227+'DOE25'!J245</f>
        <v>197365</v>
      </c>
      <c r="G16" s="53">
        <f>'DOE25'!K209+'DOE25'!K227+'DOE25'!K245</f>
        <v>619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962959.42</v>
      </c>
      <c r="D22" s="243"/>
      <c r="E22" s="243"/>
      <c r="F22" s="255">
        <f>'DOE25'!L255+'DOE25'!L336</f>
        <v>962959.42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1841195</v>
      </c>
      <c r="D25" s="243"/>
      <c r="E25" s="243"/>
      <c r="F25" s="258"/>
      <c r="G25" s="256"/>
      <c r="H25" s="257">
        <f>'DOE25'!L260+'DOE25'!L261+'DOE25'!L341+'DOE25'!L342</f>
        <v>1841195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475475.83999999991</v>
      </c>
      <c r="D29" s="20">
        <f>'DOE25'!L358+'DOE25'!L359+'DOE25'!L360-'DOE25'!I367-F29-G29</f>
        <v>474564.33999999991</v>
      </c>
      <c r="E29" s="243"/>
      <c r="F29" s="255">
        <f>'DOE25'!J358+'DOE25'!J359+'DOE25'!J360</f>
        <v>0</v>
      </c>
      <c r="G29" s="53">
        <f>'DOE25'!K358+'DOE25'!K359+'DOE25'!K360</f>
        <v>911.5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766276.01</v>
      </c>
      <c r="D31" s="20">
        <f>'DOE25'!L290+'DOE25'!L309+'DOE25'!L328+'DOE25'!L333+'DOE25'!L334+'DOE25'!L335-F31-G31</f>
        <v>722064.41</v>
      </c>
      <c r="E31" s="243"/>
      <c r="F31" s="255">
        <f>'DOE25'!J290+'DOE25'!J309+'DOE25'!J328+'DOE25'!J333+'DOE25'!J334+'DOE25'!J335</f>
        <v>41945.25</v>
      </c>
      <c r="G31" s="53">
        <f>'DOE25'!K290+'DOE25'!K309+'DOE25'!K328+'DOE25'!K333+'DOE25'!K334+'DOE25'!K335</f>
        <v>2266.35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25708202.860000003</v>
      </c>
      <c r="E33" s="246">
        <f>SUM(E5:E31)</f>
        <v>1445306.0999999996</v>
      </c>
      <c r="F33" s="246">
        <f>SUM(F5:F31)</f>
        <v>1419493.69</v>
      </c>
      <c r="G33" s="246">
        <f>SUM(G5:G31)</f>
        <v>117238.08</v>
      </c>
      <c r="H33" s="246">
        <f>SUM(H5:H31)</f>
        <v>1841195</v>
      </c>
    </row>
    <row r="35" spans="2:8" ht="12" thickBot="1" x14ac:dyDescent="0.25">
      <c r="B35" s="253" t="s">
        <v>841</v>
      </c>
      <c r="D35" s="254">
        <f>E33</f>
        <v>1445306.0999999996</v>
      </c>
      <c r="E35" s="249"/>
    </row>
    <row r="36" spans="2:8" ht="12" thickTop="1" x14ac:dyDescent="0.2">
      <c r="B36" t="s">
        <v>809</v>
      </c>
      <c r="D36" s="20">
        <f>D33</f>
        <v>25708202.860000003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108" activePane="bottomLeft" state="frozen"/>
      <selection activeCell="F46" sqref="F46"/>
      <selection pane="bottomLeft" activeCell="V36" sqref="V23:V3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PELHAM SCHOOL DISTRICT, SAU28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2360846.91</v>
      </c>
      <c r="D8" s="95">
        <f>'DOE25'!G9</f>
        <v>229083.06</v>
      </c>
      <c r="E8" s="95">
        <f>'DOE25'!H9</f>
        <v>51687.97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180682.33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25528.59</v>
      </c>
      <c r="D12" s="95">
        <f>'DOE25'!G13</f>
        <v>11224.63</v>
      </c>
      <c r="E12" s="95">
        <f>'DOE25'!H13</f>
        <v>182828.69</v>
      </c>
      <c r="F12" s="95">
        <f>'DOE25'!I13</f>
        <v>0</v>
      </c>
      <c r="G12" s="95">
        <f>'DOE25'!J13</f>
        <v>491214.93000000005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792.79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75519.27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2643369.89</v>
      </c>
      <c r="D18" s="41">
        <f>SUM(D8:D17)</f>
        <v>240307.69</v>
      </c>
      <c r="E18" s="41">
        <f>SUM(E8:E17)</f>
        <v>234516.66</v>
      </c>
      <c r="F18" s="41">
        <f>SUM(F8:F17)</f>
        <v>0</v>
      </c>
      <c r="G18" s="41">
        <f>SUM(G8:G17)</f>
        <v>491214.93000000005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-2146.36</v>
      </c>
      <c r="E21" s="95">
        <f>'DOE25'!H22</f>
        <v>182828.69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6378.34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50006.65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458414.9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19734.79</v>
      </c>
      <c r="E29" s="95">
        <f>'DOE25'!H30</f>
        <v>51687.97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514799.89</v>
      </c>
      <c r="D31" s="41">
        <f>SUM(D21:D30)</f>
        <v>17588.43</v>
      </c>
      <c r="E31" s="41">
        <f>SUM(E21:E30)</f>
        <v>234516.66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222719.26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75519.27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75519.27</v>
      </c>
      <c r="D47" s="95">
        <f>'DOE25'!G48</f>
        <v>0</v>
      </c>
      <c r="E47" s="95">
        <f>'DOE25'!H48</f>
        <v>0</v>
      </c>
      <c r="F47" s="95">
        <f>'DOE25'!I48</f>
        <v>-75519.27</v>
      </c>
      <c r="G47" s="95">
        <f>'DOE25'!J48</f>
        <v>491214.93000000005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546179.17000000004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1506871.56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2128570</v>
      </c>
      <c r="D50" s="41">
        <f>SUM(D34:D49)</f>
        <v>222719.26</v>
      </c>
      <c r="E50" s="41">
        <f>SUM(E34:E49)</f>
        <v>0</v>
      </c>
      <c r="F50" s="41">
        <f>SUM(F34:F49)</f>
        <v>0</v>
      </c>
      <c r="G50" s="41">
        <f>SUM(G34:G49)</f>
        <v>491214.93000000005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2643369.89</v>
      </c>
      <c r="D51" s="41">
        <f>D50+D31</f>
        <v>240307.69</v>
      </c>
      <c r="E51" s="41">
        <f>E50+E31</f>
        <v>234516.66</v>
      </c>
      <c r="F51" s="41">
        <f>F50+F31</f>
        <v>0</v>
      </c>
      <c r="G51" s="41">
        <f>G50+G31</f>
        <v>491214.93000000005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20880721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43320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502.74</v>
      </c>
      <c r="D59" s="95">
        <f>'DOE25'!G96</f>
        <v>0</v>
      </c>
      <c r="E59" s="95">
        <f>'DOE25'!H96</f>
        <v>0</v>
      </c>
      <c r="F59" s="95">
        <f>'DOE25'!I96</f>
        <v>308.83999999999997</v>
      </c>
      <c r="G59" s="95">
        <f>'DOE25'!J96</f>
        <v>12633.91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690833.78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26219.02</v>
      </c>
      <c r="D61" s="95">
        <f>SUM('DOE25'!G98:G110)</f>
        <v>0</v>
      </c>
      <c r="E61" s="95">
        <f>SUM('DOE25'!H98:H110)</f>
        <v>34121.99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70041.759999999995</v>
      </c>
      <c r="D62" s="130">
        <f>SUM(D57:D61)</f>
        <v>690833.78</v>
      </c>
      <c r="E62" s="130">
        <f>SUM(E57:E61)</f>
        <v>34121.99</v>
      </c>
      <c r="F62" s="130">
        <f>SUM(F57:F61)</f>
        <v>308.83999999999997</v>
      </c>
      <c r="G62" s="130">
        <f>SUM(G57:G61)</f>
        <v>12633.91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20950762.760000002</v>
      </c>
      <c r="D63" s="22">
        <f>D56+D62</f>
        <v>690833.78</v>
      </c>
      <c r="E63" s="22">
        <f>E56+E62</f>
        <v>34121.99</v>
      </c>
      <c r="F63" s="22">
        <f>F56+F62</f>
        <v>308.83999999999997</v>
      </c>
      <c r="G63" s="22">
        <f>G56+G62</f>
        <v>12633.91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4181652.46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3641954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17636.02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7841242.4799999995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570922.38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15009.2</v>
      </c>
      <c r="D76" s="24" t="s">
        <v>286</v>
      </c>
      <c r="E76" s="95">
        <f>SUM('DOE25'!H127:H130)</f>
        <v>4065.44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10705.5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585931.57999999996</v>
      </c>
      <c r="D78" s="130">
        <f>SUM(D72:D77)</f>
        <v>10705.5</v>
      </c>
      <c r="E78" s="130">
        <f>SUM(E72:E77)</f>
        <v>4065.44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8427174.0599999987</v>
      </c>
      <c r="D81" s="130">
        <f>SUM(D79:D80)+D78+D70</f>
        <v>10705.5</v>
      </c>
      <c r="E81" s="130">
        <f>SUM(E79:E80)+E78+E70</f>
        <v>4065.44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123639.85</v>
      </c>
      <c r="D88" s="95">
        <f>SUM('DOE25'!G153:G161)</f>
        <v>178780.56</v>
      </c>
      <c r="E88" s="95">
        <f>SUM('DOE25'!H153:H161)</f>
        <v>728088.58000000007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123639.85</v>
      </c>
      <c r="D91" s="131">
        <f>SUM(D85:D90)</f>
        <v>178780.56</v>
      </c>
      <c r="E91" s="131">
        <f>SUM(E85:E90)</f>
        <v>728088.58000000007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759</v>
      </c>
      <c r="C104" s="86">
        <f>C63+C81+C91+C103</f>
        <v>29501576.670000002</v>
      </c>
      <c r="D104" s="86">
        <f>D63+D81+D91+D103</f>
        <v>880319.84000000008</v>
      </c>
      <c r="E104" s="86">
        <f>E63+E81+E91+E103</f>
        <v>766276.01000000013</v>
      </c>
      <c r="F104" s="86">
        <f>F63+F81+F91+F103</f>
        <v>308.83999999999997</v>
      </c>
      <c r="G104" s="86">
        <f>G63+G81+G103</f>
        <v>12633.91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10074810.99</v>
      </c>
      <c r="D109" s="24" t="s">
        <v>286</v>
      </c>
      <c r="E109" s="95">
        <f>('DOE25'!L276)+('DOE25'!L295)+('DOE25'!L314)</f>
        <v>158633.1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5013462.07</v>
      </c>
      <c r="D110" s="24" t="s">
        <v>286</v>
      </c>
      <c r="E110" s="95">
        <f>('DOE25'!L277)+('DOE25'!L296)+('DOE25'!L315)</f>
        <v>381997.58999999997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50150.34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626581.98</v>
      </c>
      <c r="D112" s="24" t="s">
        <v>286</v>
      </c>
      <c r="E112" s="95">
        <f>+('DOE25'!L279)+('DOE25'!L298)+('DOE25'!L317)</f>
        <v>4065.44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15765005.380000001</v>
      </c>
      <c r="D115" s="86">
        <f>SUM(D109:D114)</f>
        <v>0</v>
      </c>
      <c r="E115" s="86">
        <f>SUM(E109:E114)</f>
        <v>544696.12999999989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2179775.54</v>
      </c>
      <c r="D118" s="24" t="s">
        <v>286</v>
      </c>
      <c r="E118" s="95">
        <f>+('DOE25'!L281)+('DOE25'!L300)+('DOE25'!L319)</f>
        <v>140888.25999999998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809197.73999999987</v>
      </c>
      <c r="D119" s="24" t="s">
        <v>286</v>
      </c>
      <c r="E119" s="95">
        <f>+('DOE25'!L282)+('DOE25'!L301)+('DOE25'!L320)</f>
        <v>48686.270000000004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725551.0199999999</v>
      </c>
      <c r="D120" s="24" t="s">
        <v>286</v>
      </c>
      <c r="E120" s="95">
        <f>+('DOE25'!L283)+('DOE25'!L302)+('DOE25'!L321)</f>
        <v>0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1491244.44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392378.58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2348657.4499999997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1798506.69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955889.61999999988</v>
      </c>
      <c r="D125" s="24" t="s">
        <v>286</v>
      </c>
      <c r="E125" s="95">
        <f>+('DOE25'!L288)+('DOE25'!L307)+('DOE25'!L326)</f>
        <v>32005.35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854588.62999999989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10701201.079999998</v>
      </c>
      <c r="D128" s="86">
        <f>SUM(D118:D127)</f>
        <v>854588.62999999989</v>
      </c>
      <c r="E128" s="86">
        <f>SUM(E118:E127)</f>
        <v>221579.87999999998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962959.42</v>
      </c>
      <c r="D130" s="24" t="s">
        <v>286</v>
      </c>
      <c r="E130" s="129">
        <f>'DOE25'!L336</f>
        <v>0</v>
      </c>
      <c r="F130" s="129">
        <f>SUM('DOE25'!L374:'DOE25'!L380)</f>
        <v>148363.43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1040000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801195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42399.66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29.15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12604.76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-12633.91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2804154.4199999995</v>
      </c>
      <c r="D144" s="141">
        <f>SUM(D130:D143)</f>
        <v>0</v>
      </c>
      <c r="E144" s="141">
        <f>SUM(E130:E143)</f>
        <v>0</v>
      </c>
      <c r="F144" s="141">
        <f>SUM(F130:F143)</f>
        <v>148363.43</v>
      </c>
      <c r="G144" s="141">
        <f>SUM(G130:G143)</f>
        <v>42399.66</v>
      </c>
    </row>
    <row r="145" spans="1:9" ht="12.75" thickTop="1" thickBot="1" x14ac:dyDescent="0.25">
      <c r="A145" s="33" t="s">
        <v>244</v>
      </c>
      <c r="C145" s="86">
        <f>(C115+C128+C144)</f>
        <v>29270360.879999999</v>
      </c>
      <c r="D145" s="86">
        <f>(D115+D128+D144)</f>
        <v>854588.62999999989</v>
      </c>
      <c r="E145" s="86">
        <f>(E115+E128+E144)</f>
        <v>766276.00999999989</v>
      </c>
      <c r="F145" s="86">
        <f>(F115+F128+F144)</f>
        <v>148363.43</v>
      </c>
      <c r="G145" s="86">
        <f>(G115+G128+G144)</f>
        <v>42399.66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5</v>
      </c>
      <c r="C151" s="153">
        <f>'DOE25'!G490</f>
        <v>20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 t="str">
        <f>'DOE25'!F491</f>
        <v>4/2014</v>
      </c>
      <c r="C152" s="152" t="str">
        <f>'DOE25'!G491</f>
        <v>7/2014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 t="str">
        <f>'DOE25'!F492</f>
        <v>7/2019</v>
      </c>
      <c r="C153" s="152" t="str">
        <f>'DOE25'!G492</f>
        <v>8/2034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1100000</v>
      </c>
      <c r="C154" s="137">
        <f>'DOE25'!G493</f>
        <v>20745000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2.67</v>
      </c>
      <c r="C155" s="137">
        <f>'DOE25'!G494</f>
        <v>3.2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458436.28</v>
      </c>
      <c r="C156" s="137">
        <f>'DOE25'!G495</f>
        <v>18665000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19123436.280000001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204759.75</v>
      </c>
      <c r="C158" s="137">
        <f>'DOE25'!G497</f>
        <v>1040000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1244759.75</v>
      </c>
    </row>
    <row r="159" spans="1:9" x14ac:dyDescent="0.2">
      <c r="A159" s="22" t="s">
        <v>35</v>
      </c>
      <c r="B159" s="137">
        <f>'DOE25'!F498</f>
        <v>253676.53</v>
      </c>
      <c r="C159" s="137">
        <f>'DOE25'!G498</f>
        <v>17625000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17878676.530000001</v>
      </c>
    </row>
    <row r="160" spans="1:9" x14ac:dyDescent="0.2">
      <c r="A160" s="22" t="s">
        <v>36</v>
      </c>
      <c r="B160" s="137">
        <f>'DOE25'!F499</f>
        <v>7933.27</v>
      </c>
      <c r="C160" s="137">
        <f>'DOE25'!G499</f>
        <v>6224382.5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6232315.7699999996</v>
      </c>
    </row>
    <row r="161" spans="1:7" x14ac:dyDescent="0.2">
      <c r="A161" s="22" t="s">
        <v>37</v>
      </c>
      <c r="B161" s="137">
        <f>'DOE25'!F500</f>
        <v>261609.8</v>
      </c>
      <c r="C161" s="137">
        <f>'DOE25'!G500</f>
        <v>23849382.5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24110992.300000001</v>
      </c>
    </row>
    <row r="162" spans="1:7" x14ac:dyDescent="0.2">
      <c r="A162" s="22" t="s">
        <v>38</v>
      </c>
      <c r="B162" s="137">
        <f>'DOE25'!F501</f>
        <v>210226.84</v>
      </c>
      <c r="C162" s="137">
        <f>'DOE25'!G501</f>
        <v>1040000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1250226.8400000001</v>
      </c>
    </row>
    <row r="163" spans="1:7" x14ac:dyDescent="0.2">
      <c r="A163" s="22" t="s">
        <v>39</v>
      </c>
      <c r="B163" s="137">
        <f>'DOE25'!F502</f>
        <v>6773.16</v>
      </c>
      <c r="C163" s="137">
        <f>'DOE25'!G502</f>
        <v>748155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754928.16</v>
      </c>
    </row>
    <row r="164" spans="1:7" x14ac:dyDescent="0.2">
      <c r="A164" s="22" t="s">
        <v>246</v>
      </c>
      <c r="B164" s="137">
        <f>'DOE25'!F503</f>
        <v>217000</v>
      </c>
      <c r="C164" s="137">
        <f>'DOE25'!G503</f>
        <v>1788155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2005155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PELHAM SCHOOL DISTRICT, SAU28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11992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13881</v>
      </c>
    </row>
    <row r="7" spans="1:4" x14ac:dyDescent="0.2">
      <c r="B7" t="s">
        <v>699</v>
      </c>
      <c r="C7" s="179">
        <f>IF('DOE25'!I665+'DOE25'!I670=0,0,ROUND('DOE25'!I672,0))</f>
        <v>12643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10233444</v>
      </c>
      <c r="D10" s="182">
        <f>ROUND((C10/$C$28)*100,1)</f>
        <v>36.299999999999997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5395460</v>
      </c>
      <c r="D11" s="182">
        <f>ROUND((C11/$C$28)*100,1)</f>
        <v>19.100000000000001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50150</v>
      </c>
      <c r="D12" s="182">
        <f>ROUND((C12/$C$28)*100,1)</f>
        <v>0.2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630647</v>
      </c>
      <c r="D13" s="182">
        <f>ROUND((C13/$C$28)*100,1)</f>
        <v>2.2000000000000002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2320664</v>
      </c>
      <c r="D15" s="182">
        <f t="shared" ref="D15:D27" si="0">ROUND((C15/$C$28)*100,1)</f>
        <v>8.1999999999999993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857884</v>
      </c>
      <c r="D16" s="182">
        <f t="shared" si="0"/>
        <v>3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1713446</v>
      </c>
      <c r="D17" s="182">
        <f t="shared" si="0"/>
        <v>6.1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1491244</v>
      </c>
      <c r="D18" s="182">
        <f t="shared" si="0"/>
        <v>5.3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392379</v>
      </c>
      <c r="D19" s="182">
        <f t="shared" si="0"/>
        <v>1.4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2348657</v>
      </c>
      <c r="D20" s="182">
        <f t="shared" si="0"/>
        <v>8.3000000000000007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1798507</v>
      </c>
      <c r="D21" s="182">
        <f t="shared" si="0"/>
        <v>6.4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801195</v>
      </c>
      <c r="D25" s="182">
        <f t="shared" si="0"/>
        <v>2.8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163755.21999999997</v>
      </c>
      <c r="D27" s="182">
        <f t="shared" si="0"/>
        <v>0.6</v>
      </c>
    </row>
    <row r="28" spans="1:4" x14ac:dyDescent="0.2">
      <c r="B28" s="187" t="s">
        <v>717</v>
      </c>
      <c r="C28" s="180">
        <f>SUM(C10:C27)</f>
        <v>28197432.219999999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1111323</v>
      </c>
    </row>
    <row r="30" spans="1:4" x14ac:dyDescent="0.2">
      <c r="B30" s="187" t="s">
        <v>723</v>
      </c>
      <c r="C30" s="180">
        <f>SUM(C28:C29)</f>
        <v>29308755.219999999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1040000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20880721</v>
      </c>
      <c r="D35" s="182">
        <f t="shared" ref="D35:D40" si="1">ROUND((C35/$C$41)*100,1)</f>
        <v>68.5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117106.5</v>
      </c>
      <c r="D36" s="182">
        <f t="shared" si="1"/>
        <v>0.4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7823606</v>
      </c>
      <c r="D37" s="182">
        <f t="shared" si="1"/>
        <v>25.7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618339</v>
      </c>
      <c r="D38" s="182">
        <f t="shared" si="1"/>
        <v>2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1030509</v>
      </c>
      <c r="D39" s="182">
        <f t="shared" si="1"/>
        <v>3.4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30470281.5</v>
      </c>
      <c r="D41" s="184">
        <f>SUM(D35:D40)</f>
        <v>100.00000000000001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764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761</v>
      </c>
      <c r="B2" s="301"/>
      <c r="C2" s="301"/>
      <c r="D2" s="301"/>
      <c r="E2" s="301"/>
      <c r="F2" s="298" t="str">
        <f>'DOE25'!A2</f>
        <v>PELHAM SCHOOL DISTRICT, SAU28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6" t="s">
        <v>765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842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9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M28"/>
    </sheetView>
  </sheetViews>
  <sheetFormatPr defaultRowHeight="11.25" x14ac:dyDescent="0.2"/>
  <cols>
    <col min="1" max="3" width="11.6640625" bestFit="1" customWidth="1"/>
    <col min="4" max="5" width="10.1640625" bestFit="1" customWidth="1"/>
    <col min="6" max="6" width="9.1640625" bestFit="1" customWidth="1"/>
    <col min="8" max="8" width="10.1640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Welch, Matthew</cp:lastModifiedBy>
  <cp:lastPrinted>2018-10-19T11:57:55Z</cp:lastPrinted>
  <dcterms:created xsi:type="dcterms:W3CDTF">1997-12-04T19:04:30Z</dcterms:created>
  <dcterms:modified xsi:type="dcterms:W3CDTF">2018-12-03T19:50:43Z</dcterms:modified>
</cp:coreProperties>
</file>