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22845" windowHeight="51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8" i="1" l="1"/>
  <c r="H526" i="1"/>
  <c r="G523" i="1" l="1"/>
  <c r="H523" i="1"/>
  <c r="I523" i="1"/>
  <c r="J523" i="1"/>
  <c r="K523" i="1"/>
  <c r="F523" i="1"/>
  <c r="G521" i="1"/>
  <c r="H521" i="1"/>
  <c r="I521" i="1"/>
  <c r="J521" i="1"/>
  <c r="K521" i="1"/>
  <c r="F521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/>
  <c r="L282" i="1"/>
  <c r="C16" i="10"/>
  <c r="L283" i="1"/>
  <c r="L284" i="1"/>
  <c r="E121" i="2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/>
  <c r="L334" i="1"/>
  <c r="L335" i="1"/>
  <c r="L260" i="1"/>
  <c r="C131" i="2"/>
  <c r="L261" i="1"/>
  <c r="C25" i="10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2" i="2"/>
  <c r="G61" i="2"/>
  <c r="F2" i="11"/>
  <c r="L613" i="1"/>
  <c r="L612" i="1"/>
  <c r="G663" i="1"/>
  <c r="L611" i="1"/>
  <c r="C40" i="10"/>
  <c r="F60" i="1"/>
  <c r="G60" i="1"/>
  <c r="H60" i="1"/>
  <c r="I60" i="1"/>
  <c r="F79" i="1"/>
  <c r="C57" i="2"/>
  <c r="F94" i="1"/>
  <c r="C58" i="2"/>
  <c r="F111" i="1"/>
  <c r="G111" i="1"/>
  <c r="G112" i="1"/>
  <c r="H79" i="1"/>
  <c r="H94" i="1"/>
  <c r="H111" i="1"/>
  <c r="H112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/>
  <c r="G147" i="1"/>
  <c r="G162" i="1"/>
  <c r="H147" i="1"/>
  <c r="H162" i="1"/>
  <c r="H169" i="1"/>
  <c r="I147" i="1"/>
  <c r="I162" i="1"/>
  <c r="C19" i="10"/>
  <c r="L250" i="1"/>
  <c r="L332" i="1"/>
  <c r="L254" i="1"/>
  <c r="L268" i="1"/>
  <c r="C26" i="10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/>
  <c r="K351" i="1"/>
  <c r="L521" i="1"/>
  <c r="F549" i="1"/>
  <c r="L522" i="1"/>
  <c r="F550" i="1"/>
  <c r="L523" i="1"/>
  <c r="F551" i="1"/>
  <c r="L526" i="1"/>
  <c r="G549" i="1" s="1"/>
  <c r="K549" i="1" s="1"/>
  <c r="L527" i="1"/>
  <c r="G550" i="1"/>
  <c r="K550" i="1" s="1"/>
  <c r="L528" i="1"/>
  <c r="G551" i="1" s="1"/>
  <c r="K551" i="1" s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/>
  <c r="L542" i="1"/>
  <c r="J550" i="1"/>
  <c r="L543" i="1"/>
  <c r="J551" i="1"/>
  <c r="J552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D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D81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/>
  <c r="G19" i="1"/>
  <c r="H19" i="1"/>
  <c r="G619" i="1"/>
  <c r="I19" i="1"/>
  <c r="F32" i="1"/>
  <c r="F52" i="1"/>
  <c r="H617" i="1"/>
  <c r="G32" i="1"/>
  <c r="G52" i="1"/>
  <c r="H618" i="1"/>
  <c r="H32" i="1"/>
  <c r="I32" i="1"/>
  <c r="H51" i="1"/>
  <c r="G624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J604" i="1"/>
  <c r="K247" i="1"/>
  <c r="F256" i="1"/>
  <c r="G256" i="1"/>
  <c r="H256" i="1"/>
  <c r="L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/>
  <c r="J362" i="1"/>
  <c r="K362" i="1"/>
  <c r="I368" i="1"/>
  <c r="F369" i="1"/>
  <c r="G369" i="1"/>
  <c r="H369" i="1"/>
  <c r="I369" i="1"/>
  <c r="H634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/>
  <c r="H644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/>
  <c r="F452" i="1"/>
  <c r="G452" i="1"/>
  <c r="H452" i="1"/>
  <c r="I452" i="1"/>
  <c r="F460" i="1"/>
  <c r="G460" i="1"/>
  <c r="H460" i="1"/>
  <c r="I460" i="1"/>
  <c r="I461" i="1"/>
  <c r="H642" i="1"/>
  <c r="F461" i="1"/>
  <c r="H639" i="1"/>
  <c r="J639" i="1"/>
  <c r="G461" i="1"/>
  <c r="H461" i="1"/>
  <c r="H641" i="1"/>
  <c r="F470" i="1"/>
  <c r="G470" i="1"/>
  <c r="H470" i="1"/>
  <c r="I470" i="1"/>
  <c r="J470" i="1"/>
  <c r="J476" i="1"/>
  <c r="H626" i="1"/>
  <c r="F474" i="1"/>
  <c r="G474" i="1"/>
  <c r="G476" i="1"/>
  <c r="H623" i="1"/>
  <c r="J623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H545" i="1" s="1"/>
  <c r="I529" i="1"/>
  <c r="I545" i="1" s="1"/>
  <c r="J529" i="1"/>
  <c r="K529" i="1"/>
  <c r="F534" i="1"/>
  <c r="G534" i="1"/>
  <c r="G545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/>
  <c r="F565" i="1"/>
  <c r="F571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 s="1"/>
  <c r="J651" i="1" s="1"/>
  <c r="K602" i="1"/>
  <c r="K603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H640" i="1"/>
  <c r="G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/>
  <c r="F192" i="1"/>
  <c r="G164" i="2"/>
  <c r="D18" i="13"/>
  <c r="C18" i="13"/>
  <c r="D7" i="13"/>
  <c r="C7" i="13"/>
  <c r="D17" i="13"/>
  <c r="C17" i="13"/>
  <c r="C91" i="2"/>
  <c r="F78" i="2"/>
  <c r="F81" i="2"/>
  <c r="D50" i="2"/>
  <c r="G157" i="2"/>
  <c r="F18" i="2"/>
  <c r="G161" i="2"/>
  <c r="G156" i="2"/>
  <c r="E103" i="2"/>
  <c r="E62" i="2"/>
  <c r="E63" i="2"/>
  <c r="D19" i="13"/>
  <c r="C19" i="13"/>
  <c r="E13" i="13"/>
  <c r="C13" i="13"/>
  <c r="E78" i="2"/>
  <c r="E81" i="2"/>
  <c r="L427" i="1"/>
  <c r="J571" i="1"/>
  <c r="K571" i="1"/>
  <c r="L433" i="1"/>
  <c r="L419" i="1"/>
  <c r="I169" i="1"/>
  <c r="J643" i="1"/>
  <c r="I476" i="1"/>
  <c r="H625" i="1"/>
  <c r="J625" i="1"/>
  <c r="J140" i="1"/>
  <c r="I552" i="1"/>
  <c r="G22" i="2"/>
  <c r="K545" i="1"/>
  <c r="C29" i="10"/>
  <c r="H140" i="1"/>
  <c r="L393" i="1"/>
  <c r="C138" i="2"/>
  <c r="F22" i="13"/>
  <c r="J640" i="1"/>
  <c r="H571" i="1"/>
  <c r="L560" i="1"/>
  <c r="J545" i="1"/>
  <c r="H338" i="1"/>
  <c r="H352" i="1"/>
  <c r="G192" i="1"/>
  <c r="H192" i="1"/>
  <c r="F552" i="1"/>
  <c r="L309" i="1"/>
  <c r="E16" i="13"/>
  <c r="C16" i="13"/>
  <c r="L570" i="1"/>
  <c r="I571" i="1"/>
  <c r="J636" i="1"/>
  <c r="G36" i="2"/>
  <c r="C22" i="13"/>
  <c r="L328" i="1"/>
  <c r="H552" i="1"/>
  <c r="L534" i="1"/>
  <c r="L529" i="1"/>
  <c r="L545" i="1" s="1"/>
  <c r="F476" i="1"/>
  <c r="H622" i="1"/>
  <c r="J622" i="1"/>
  <c r="A40" i="12"/>
  <c r="A31" i="12"/>
  <c r="K257" i="1"/>
  <c r="K271" i="1"/>
  <c r="H663" i="1"/>
  <c r="C13" i="10"/>
  <c r="D31" i="2"/>
  <c r="L290" i="1"/>
  <c r="G257" i="1"/>
  <c r="G271" i="1"/>
  <c r="D12" i="13"/>
  <c r="C12" i="13"/>
  <c r="E8" i="13"/>
  <c r="C8" i="13"/>
  <c r="I662" i="1"/>
  <c r="K598" i="1"/>
  <c r="G647" i="1" s="1"/>
  <c r="H476" i="1"/>
  <c r="H624" i="1"/>
  <c r="J644" i="1"/>
  <c r="J641" i="1"/>
  <c r="J634" i="1"/>
  <c r="D127" i="2"/>
  <c r="D128" i="2"/>
  <c r="D145" i="2"/>
  <c r="L362" i="1"/>
  <c r="C27" i="10"/>
  <c r="L401" i="1"/>
  <c r="C139" i="2"/>
  <c r="G408" i="1"/>
  <c r="H645" i="1"/>
  <c r="J645" i="1"/>
  <c r="J624" i="1"/>
  <c r="E31" i="2"/>
  <c r="H52" i="1"/>
  <c r="H619" i="1"/>
  <c r="J619" i="1"/>
  <c r="D18" i="2"/>
  <c r="J617" i="1"/>
  <c r="E120" i="2"/>
  <c r="K338" i="1"/>
  <c r="K352" i="1"/>
  <c r="C142" i="2"/>
  <c r="C132" i="2"/>
  <c r="C32" i="10"/>
  <c r="H25" i="13"/>
  <c r="J338" i="1"/>
  <c r="J257" i="1"/>
  <c r="J271" i="1"/>
  <c r="I257" i="1"/>
  <c r="I271" i="1"/>
  <c r="D14" i="13"/>
  <c r="C14" i="13"/>
  <c r="D6" i="13"/>
  <c r="C6" i="13"/>
  <c r="H257" i="1"/>
  <c r="H271" i="1"/>
  <c r="C124" i="2"/>
  <c r="C21" i="10"/>
  <c r="G649" i="1"/>
  <c r="J649" i="1"/>
  <c r="H647" i="1"/>
  <c r="D15" i="13"/>
  <c r="C15" i="13"/>
  <c r="G338" i="1"/>
  <c r="G352" i="1"/>
  <c r="E119" i="2"/>
  <c r="E128" i="2"/>
  <c r="L247" i="1"/>
  <c r="D62" i="2"/>
  <c r="D63" i="2"/>
  <c r="H661" i="1"/>
  <c r="D29" i="13"/>
  <c r="C29" i="13"/>
  <c r="G661" i="1"/>
  <c r="F661" i="1"/>
  <c r="F338" i="1"/>
  <c r="F352" i="1"/>
  <c r="E109" i="2"/>
  <c r="E115" i="2"/>
  <c r="C123" i="2"/>
  <c r="C20" i="10"/>
  <c r="C121" i="2"/>
  <c r="C18" i="10"/>
  <c r="C120" i="2"/>
  <c r="C17" i="10"/>
  <c r="C15" i="10"/>
  <c r="C118" i="2"/>
  <c r="F257" i="1"/>
  <c r="F271" i="1"/>
  <c r="C111" i="2"/>
  <c r="C12" i="10"/>
  <c r="C11" i="10"/>
  <c r="C109" i="2"/>
  <c r="L211" i="1"/>
  <c r="C110" i="2"/>
  <c r="C10" i="10"/>
  <c r="D5" i="13"/>
  <c r="C5" i="13"/>
  <c r="C78" i="2"/>
  <c r="C81" i="2"/>
  <c r="C62" i="2"/>
  <c r="F112" i="1"/>
  <c r="C35" i="10"/>
  <c r="C56" i="2"/>
  <c r="C18" i="2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/>
  <c r="C24" i="10"/>
  <c r="G660" i="1"/>
  <c r="G31" i="13"/>
  <c r="G33" i="13"/>
  <c r="I338" i="1"/>
  <c r="I352" i="1"/>
  <c r="J650" i="1"/>
  <c r="L407" i="1"/>
  <c r="C140" i="2"/>
  <c r="L571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F31" i="13"/>
  <c r="J193" i="1"/>
  <c r="G646" i="1"/>
  <c r="F104" i="2"/>
  <c r="H193" i="1"/>
  <c r="G629" i="1"/>
  <c r="J629" i="1"/>
  <c r="G169" i="1"/>
  <c r="C39" i="10"/>
  <c r="G140" i="1"/>
  <c r="F140" i="1"/>
  <c r="G63" i="2"/>
  <c r="J618" i="1"/>
  <c r="G42" i="2"/>
  <c r="J51" i="1"/>
  <c r="G16" i="2"/>
  <c r="J19" i="1"/>
  <c r="G621" i="1"/>
  <c r="G18" i="2"/>
  <c r="F545" i="1"/>
  <c r="H434" i="1"/>
  <c r="J620" i="1"/>
  <c r="D103" i="2"/>
  <c r="D104" i="2"/>
  <c r="I140" i="1"/>
  <c r="I193" i="1"/>
  <c r="G630" i="1"/>
  <c r="J630" i="1"/>
  <c r="A22" i="12"/>
  <c r="G50" i="2"/>
  <c r="G51" i="2"/>
  <c r="J652" i="1"/>
  <c r="J642" i="1"/>
  <c r="G571" i="1"/>
  <c r="I434" i="1"/>
  <c r="G434" i="1"/>
  <c r="E104" i="2"/>
  <c r="L338" i="1"/>
  <c r="L352" i="1"/>
  <c r="G633" i="1"/>
  <c r="J633" i="1"/>
  <c r="H660" i="1"/>
  <c r="H664" i="1"/>
  <c r="H667" i="1" s="1"/>
  <c r="C36" i="10"/>
  <c r="E33" i="13"/>
  <c r="D35" i="13"/>
  <c r="J352" i="1"/>
  <c r="H604" i="1"/>
  <c r="G104" i="2"/>
  <c r="G635" i="1"/>
  <c r="J635" i="1"/>
  <c r="C141" i="2"/>
  <c r="C144" i="2"/>
  <c r="H646" i="1"/>
  <c r="J646" i="1"/>
  <c r="E51" i="2"/>
  <c r="C63" i="2"/>
  <c r="C104" i="2"/>
  <c r="D31" i="13"/>
  <c r="C31" i="13"/>
  <c r="C25" i="13"/>
  <c r="H33" i="13"/>
  <c r="F33" i="13"/>
  <c r="H648" i="1"/>
  <c r="L257" i="1"/>
  <c r="L271" i="1"/>
  <c r="G632" i="1"/>
  <c r="J632" i="1"/>
  <c r="F660" i="1"/>
  <c r="C128" i="2"/>
  <c r="C115" i="2"/>
  <c r="E145" i="2"/>
  <c r="I661" i="1"/>
  <c r="G664" i="1"/>
  <c r="C28" i="10"/>
  <c r="D25" i="10"/>
  <c r="F193" i="1"/>
  <c r="G627" i="1"/>
  <c r="J627" i="1"/>
  <c r="C51" i="2"/>
  <c r="G631" i="1"/>
  <c r="J631" i="1"/>
  <c r="G193" i="1"/>
  <c r="G628" i="1"/>
  <c r="J628" i="1"/>
  <c r="G626" i="1"/>
  <c r="J626" i="1"/>
  <c r="J52" i="1"/>
  <c r="H621" i="1"/>
  <c r="J621" i="1"/>
  <c r="C38" i="10"/>
  <c r="H605" i="1"/>
  <c r="K604" i="1"/>
  <c r="K605" i="1"/>
  <c r="G648" i="1"/>
  <c r="J648" i="1"/>
  <c r="F663" i="1"/>
  <c r="I663" i="1"/>
  <c r="I664" i="1" s="1"/>
  <c r="D33" i="13"/>
  <c r="D36" i="13"/>
  <c r="I660" i="1"/>
  <c r="C145" i="2"/>
  <c r="D15" i="10"/>
  <c r="D21" i="10"/>
  <c r="D12" i="10"/>
  <c r="G667" i="1"/>
  <c r="G672" i="1"/>
  <c r="C5" i="10"/>
  <c r="D13" i="10"/>
  <c r="D16" i="10"/>
  <c r="D27" i="10"/>
  <c r="D19" i="10"/>
  <c r="D10" i="10"/>
  <c r="D26" i="10"/>
  <c r="D22" i="10"/>
  <c r="D18" i="10"/>
  <c r="D24" i="10"/>
  <c r="D11" i="10"/>
  <c r="D23" i="10"/>
  <c r="D17" i="10"/>
  <c r="C30" i="10"/>
  <c r="D20" i="10"/>
  <c r="C41" i="10"/>
  <c r="D38" i="10"/>
  <c r="F664" i="1"/>
  <c r="F667" i="1"/>
  <c r="D28" i="10"/>
  <c r="D37" i="10"/>
  <c r="D36" i="10"/>
  <c r="D35" i="10"/>
  <c r="D40" i="10"/>
  <c r="D39" i="10"/>
  <c r="F672" i="1"/>
  <c r="C4" i="10" s="1"/>
  <c r="D41" i="10"/>
  <c r="I667" i="1" l="1"/>
  <c r="H672" i="1"/>
  <c r="C6" i="10" s="1"/>
  <c r="H656" i="1"/>
  <c r="J647" i="1"/>
  <c r="I672" i="1"/>
  <c r="C7" i="10" s="1"/>
  <c r="K552" i="1"/>
  <c r="G552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<sst xmlns="http://schemas.openxmlformats.org/spreadsheetml/2006/main" count="3958" uniqueCount="913">
  <si>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</si>
  <si>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</si>
  <si>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</si>
  <si>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</si>
  <si>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</si>
  <si>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</si>
  <si>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</si>
  <si>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</si>
  <si>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</si>
  <si>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</si>
  <si>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</si>
  <si>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</si>
  <si>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</si>
  <si>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</si>
  <si>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</si>
  <si>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</si>
  <si>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</si>
  <si>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</si>
  <si>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</si>
  <si>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</si>
  <si>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</si>
  <si>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</si>
  <si>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</si>
  <si>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</si>
  <si>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</si>
  <si>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</si>
  <si>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</si>
  <si>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</si>
  <si>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</si>
  <si>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</si>
  <si>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</si>
  <si>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</si>
  <si>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</si>
  <si>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</si>
  <si>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</si>
  <si>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</si>
  <si>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</si>
  <si>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</si>
  <si>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</si>
  <si>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</si>
  <si>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</si>
  <si>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</si>
  <si>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</si>
  <si>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</si>
  <si>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</si>
  <si>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</si>
  <si>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</si>
  <si>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</si>
  <si>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</si>
  <si>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</si>
  <si>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</si>
  <si>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</si>
  <si>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</si>
  <si>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</si>
  <si>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</si>
  <si>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</si>
  <si>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</si>
  <si>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</si>
  <si>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</si>
  <si>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</si>
  <si>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</si>
  <si>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</si>
  <si>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</si>
  <si>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</si>
  <si>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</si>
  <si>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</si>
  <si>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</si>
  <si>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</si>
  <si>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</si>
  <si>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</si>
  <si>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</si>
  <si>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</si>
  <si>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</si>
  <si>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</si>
  <si>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</si>
  <si>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</si>
  <si>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</si>
  <si>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</si>
  <si>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</si>
  <si>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</si>
  <si>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</si>
  <si>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</si>
  <si>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</si>
  <si>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</si>
  <si>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</si>
  <si>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</si>
  <si>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</si>
  <si>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</si>
  <si>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</si>
  <si>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</si>
  <si>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</si>
  <si>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</si>
  <si>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</si>
  <si>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</si>
  <si>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</si>
  <si>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</si>
  <si>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</si>
  <si>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</si>
  <si>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</si>
  <si>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</si>
  <si>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</si>
  <si>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</si>
  <si>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</si>
  <si>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</si>
  <si>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</si>
  <si>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</si>
  <si>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</si>
  <si>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</si>
  <si>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</si>
  <si>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</si>
  <si>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</si>
  <si>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</si>
  <si>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</si>
  <si>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</si>
  <si>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</si>
  <si>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</si>
  <si>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</si>
  <si>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</si>
  <si>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</si>
  <si>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</si>
  <si>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</si>
  <si>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</si>
  <si>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</si>
  <si>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</si>
  <si>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</si>
  <si>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</si>
  <si>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</si>
  <si>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</si>
  <si>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</si>
  <si>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</si>
  <si>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</si>
  <si>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</si>
  <si>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</si>
  <si>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</si>
  <si>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</si>
  <si>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</si>
  <si>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</si>
  <si>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</si>
  <si>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</si>
  <si>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</si>
  <si>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</si>
  <si>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</si>
  <si>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</si>
  <si>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</si>
  <si>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</si>
  <si>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</si>
  <si>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</si>
  <si>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</si>
  <si>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</si>
  <si>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</si>
  <si>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</si>
  <si>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</si>
  <si>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</si>
  <si>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</si>
  <si>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</si>
  <si>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</si>
  <si>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</si>
  <si>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</si>
  <si>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</si>
  <si>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</si>
  <si>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</si>
  <si>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</si>
  <si>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</si>
  <si>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</si>
  <si>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</si>
  <si>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</si>
  <si>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</si>
  <si>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</si>
  <si>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</si>
  <si>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</si>
  <si>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</si>
  <si>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</si>
  <si>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</si>
  <si>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</si>
  <si>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</si>
  <si>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</si>
  <si>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</si>
  <si>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</si>
  <si>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</si>
  <si>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</si>
  <si>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</si>
  <si>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</si>
  <si>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</si>
  <si>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</si>
  <si>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</si>
  <si>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</si>
  <si>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</si>
  <si>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</si>
  <si>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</si>
  <si>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</si>
  <si>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</si>
  <si>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</si>
  <si>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</si>
  <si>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</si>
  <si>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</si>
  <si>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</si>
  <si>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</si>
  <si>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</si>
  <si>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</si>
  <si>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</si>
  <si>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</si>
  <si>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</si>
  <si>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</si>
  <si>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</si>
  <si>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</si>
  <si>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</si>
  <si>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</si>
  <si>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</si>
  <si>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</si>
  <si>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</si>
  <si>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</si>
  <si>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</si>
  <si>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</si>
  <si>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</si>
  <si>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</si>
  <si>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</si>
  <si>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</si>
  <si>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</si>
  <si>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</si>
  <si>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</si>
  <si>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</si>
  <si>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</si>
  <si>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</si>
  <si>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</si>
  <si>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</si>
  <si>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</si>
  <si>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</si>
  <si>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</si>
  <si>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</si>
  <si>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</si>
  <si>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</si>
  <si>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</si>
  <si>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</si>
  <si>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</si>
  <si>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</si>
  <si>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</si>
  <si>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</si>
  <si>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</si>
  <si>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</si>
  <si>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</si>
  <si>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</si>
  <si>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</si>
  <si>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</si>
  <si>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</si>
  <si>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</si>
  <si>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</si>
  <si>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</si>
  <si>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</si>
  <si>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</si>
  <si>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</si>
  <si>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</si>
  <si>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</si>
  <si>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</si>
  <si>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</si>
  <si>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</si>
  <si>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</si>
  <si>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</si>
  <si>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</si>
  <si>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</si>
  <si>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</si>
  <si>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</si>
  <si>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</si>
  <si>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</si>
  <si>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</si>
  <si>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</si>
  <si>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</si>
  <si>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</si>
  <si>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</si>
  <si>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</si>
  <si>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</si>
  <si>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</si>
  <si>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</si>
  <si>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</si>
  <si>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</si>
  <si>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</si>
  <si>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</si>
  <si>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</si>
  <si>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</si>
  <si>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</si>
  <si>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</si>
  <si>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</si>
  <si>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</si>
  <si>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</si>
  <si>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</si>
  <si>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</si>
  <si>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</si>
  <si>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</si>
  <si>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</si>
  <si>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</si>
  <si>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</si>
  <si>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</si>
  <si>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</si>
  <si>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</si>
  <si>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</si>
  <si>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</si>
  <si>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</si>
  <si>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</si>
  <si>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</si>
  <si>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</si>
  <si>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</si>
  <si>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</si>
  <si>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</si>
  <si>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</si>
  <si>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</si>
  <si>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</si>
  <si>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</si>
  <si>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</si>
  <si>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</si>
  <si>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</si>
  <si>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</si>
  <si>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</si>
  <si>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</si>
  <si>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</si>
  <si>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</si>
  <si>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</si>
  <si>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</si>
  <si>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</si>
  <si>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</si>
  <si>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</si>
  <si>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</si>
  <si>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</si>
  <si>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</si>
  <si>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</si>
  <si>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</si>
  <si>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</si>
  <si>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</si>
  <si>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</si>
  <si>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</si>
  <si>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</si>
  <si>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</si>
  <si>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</si>
  <si>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</si>
  <si>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</si>
  <si>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</si>
  <si>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</si>
  <si>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</si>
  <si>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</si>
  <si>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</si>
  <si>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</si>
  <si>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</si>
  <si>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</si>
  <si>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</si>
  <si>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</si>
  <si>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</si>
  <si>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</si>
  <si>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</si>
  <si>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</si>
  <si>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</si>
  <si>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</si>
  <si>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</si>
  <si>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</si>
  <si>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</si>
  <si>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</si>
  <si>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</si>
  <si>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</si>
  <si>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</si>
  <si>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</si>
  <si>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</si>
  <si>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</si>
  <si>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</si>
  <si>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</si>
  <si>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</si>
  <si>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</si>
  <si>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</si>
  <si>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</si>
  <si>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</si>
  <si>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</si>
  <si>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</si>
  <si>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</si>
  <si>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</si>
  <si>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</si>
  <si>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</si>
  <si>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</si>
  <si>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</si>
  <si>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</si>
  <si>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</si>
  <si>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</si>
  <si>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</si>
  <si>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</si>
  <si>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</si>
  <si>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</si>
  <si>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</si>
  <si>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</si>
  <si>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</si>
  <si>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</si>
  <si>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</si>
  <si>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</si>
  <si>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</si>
  <si>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</si>
  <si>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</si>
  <si>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</si>
  <si>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</si>
  <si>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</si>
  <si>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</si>
  <si>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</si>
  <si>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</si>
  <si>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</si>
  <si>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</si>
  <si>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</si>
  <si>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</si>
  <si>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</si>
  <si>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</si>
  <si>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</si>
  <si>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</si>
  <si>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</si>
  <si>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</si>
  <si>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</si>
  <si>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</si>
  <si>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</si>
  <si>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</si>
  <si>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</si>
  <si>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</si>
  <si>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</si>
  <si>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</si>
  <si>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</si>
  <si>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</si>
  <si>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</si>
  <si>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</si>
  <si>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</si>
  <si>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</si>
  <si>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</si>
  <si>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</si>
  <si>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</si>
  <si>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</si>
  <si>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</si>
  <si>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</si>
  <si>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</si>
  <si>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</si>
  <si>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</si>
  <si>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</si>
  <si>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</si>
  <si>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</si>
  <si>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</si>
  <si>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</si>
  <si>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</si>
  <si>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</si>
  <si>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</si>
  <si>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</si>
  <si>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</si>
  <si>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</si>
  <si>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</si>
  <si>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</si>
  <si>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</si>
  <si>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</si>
  <si>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</si>
  <si>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</si>
  <si>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</si>
  <si>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</si>
  <si>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</si>
  <si>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</si>
  <si>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</si>
  <si>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</si>
  <si>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</si>
  <si>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</si>
  <si>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</si>
  <si>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</si>
  <si>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</si>
  <si>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</si>
  <si>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</si>
  <si>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</si>
  <si>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</si>
  <si>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</si>
  <si>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</si>
  <si>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</si>
  <si>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</si>
  <si>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</si>
  <si>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</si>
  <si>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</si>
  <si>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</si>
  <si>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</si>
  <si>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</si>
  <si>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</si>
  <si>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</si>
  <si>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</si>
  <si>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</si>
  <si>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</si>
  <si>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</si>
  <si>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</si>
  <si>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</si>
  <si>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</si>
  <si>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</si>
  <si>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</si>
  <si>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</si>
  <si>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</si>
  <si>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</si>
  <si>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</si>
  <si>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</si>
  <si>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</si>
  <si>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</si>
  <si>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</si>
  <si>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</si>
  <si>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</si>
  <si>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</si>
  <si>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</si>
  <si>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</si>
  <si>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</si>
  <si>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</si>
  <si>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</si>
  <si>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</si>
  <si>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</si>
  <si>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</si>
  <si>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</si>
  <si>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</si>
  <si>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</si>
  <si>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</si>
  <si>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</si>
  <si>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</si>
  <si>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</si>
  <si>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</si>
  <si>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</si>
  <si>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</si>
  <si>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</si>
  <si>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</si>
  <si>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</si>
  <si>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</si>
  <si>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</si>
  <si>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</si>
  <si>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</si>
  <si>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</si>
  <si>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</si>
  <si>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</si>
  <si>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</si>
  <si>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</si>
  <si>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</si>
  <si>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</si>
  <si>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</si>
  <si>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</si>
  <si>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</si>
  <si>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</si>
  <si>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</si>
  <si>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</si>
  <si>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</si>
  <si>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</si>
  <si>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</si>
  <si>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</si>
  <si>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</si>
  <si>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</si>
  <si>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</si>
  <si>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</si>
  <si>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</si>
  <si>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</si>
  <si>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</si>
  <si>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</si>
  <si>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</si>
  <si>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</si>
  <si>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</si>
  <si>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</si>
  <si>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</si>
  <si>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</si>
  <si>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</si>
  <si>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</si>
  <si>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</si>
  <si>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</si>
  <si>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</si>
  <si>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</si>
  <si>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</si>
  <si>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</si>
  <si>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</si>
  <si>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</si>
  <si>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</si>
  <si>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</si>
  <si>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</si>
  <si>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</si>
  <si>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</si>
  <si>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</si>
  <si>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</si>
  <si>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</si>
  <si>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</si>
  <si>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</si>
  <si>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</si>
  <si>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</si>
  <si>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</si>
  <si>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</si>
  <si>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</si>
  <si>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</si>
  <si>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</si>
  <si>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</si>
  <si>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</si>
  <si>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</si>
  <si>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</si>
  <si>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</si>
  <si>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</si>
  <si>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</si>
  <si>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</si>
  <si>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</si>
  <si>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</si>
  <si>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</si>
  <si>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</si>
  <si>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</si>
  <si>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</si>
  <si>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</si>
  <si>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</si>
  <si>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</si>
  <si>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</si>
  <si>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</si>
  <si>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</si>
  <si>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</si>
  <si>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</si>
  <si>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</si>
  <si>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</si>
  <si>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</si>
  <si>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</si>
  <si>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</si>
  <si>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</si>
  <si>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</si>
  <si>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</si>
  <si>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</si>
  <si>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</si>
  <si>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</si>
  <si>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</si>
  <si>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</si>
  <si>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</si>
  <si>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</si>
  <si>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</si>
  <si>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</si>
  <si>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</si>
  <si>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</si>
  <si>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</si>
  <si>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</si>
  <si>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</si>
  <si>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</si>
  <si>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</si>
  <si>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</si>
  <si>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</si>
  <si>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</si>
  <si>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</si>
  <si>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</si>
  <si>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</si>
  <si>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</si>
  <si>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</si>
  <si>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</si>
  <si>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</si>
  <si>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</si>
  <si>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</si>
  <si>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</si>
  <si>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</si>
  <si>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</si>
  <si>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</si>
  <si>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</si>
  <si>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</si>
  <si>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</si>
  <si>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</si>
  <si>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</si>
  <si>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</si>
  <si>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</si>
  <si>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</si>
  <si>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</si>
  <si>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</si>
  <si>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</si>
  <si>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</si>
  <si>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</si>
  <si>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</si>
  <si>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</si>
  <si>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</si>
  <si>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</si>
  <si>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</si>
  <si>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</si>
  <si>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</si>
  <si>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</si>
  <si>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</si>
  <si>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</si>
  <si>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</si>
  <si>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</si>
  <si>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</si>
  <si>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</si>
  <si>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</si>
  <si>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</si>
  <si>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</si>
  <si>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</si>
  <si>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</si>
  <si>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</si>
  <si>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</si>
  <si>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</si>
  <si>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</si>
  <si>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</si>
  <si>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</si>
  <si>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</si>
  <si>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</si>
  <si>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</si>
  <si>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</si>
  <si>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</si>
  <si>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</si>
  <si>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</si>
  <si>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</si>
  <si>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</si>
  <si>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</si>
  <si>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</si>
  <si>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</si>
  <si>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</si>
  <si>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</si>
  <si>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</si>
  <si>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</si>
  <si>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</si>
  <si>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</si>
  <si>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</si>
  <si>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</si>
  <si>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</si>
  <si>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</si>
  <si>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</si>
  <si>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</si>
  <si>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</si>
  <si>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</si>
  <si>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</si>
  <si>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</si>
  <si>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</si>
  <si>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</si>
  <si>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</si>
  <si>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</si>
  <si>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</si>
  <si>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</si>
  <si>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</si>
  <si>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</si>
  <si>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</si>
  <si>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</si>
  <si>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</si>
  <si>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</si>
  <si>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</si>
  <si>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</si>
  <si>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</si>
  <si>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</si>
  <si>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</si>
  <si>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</si>
  <si>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</si>
  <si>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</si>
  <si>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</si>
  <si>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</si>
  <si>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</si>
  <si>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</si>
  <si>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</si>
  <si>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</si>
  <si>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</si>
  <si>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</si>
  <si>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</si>
  <si>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</si>
  <si>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</si>
  <si>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</si>
  <si>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</si>
  <si>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</si>
  <si>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</si>
  <si>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</si>
  <si>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</si>
  <si>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</si>
  <si>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</si>
  <si>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</si>
  <si>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</si>
  <si>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</si>
  <si>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</si>
  <si>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</si>
  <si>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</si>
  <si>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</si>
  <si>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</si>
  <si>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</si>
  <si>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</si>
  <si>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</si>
  <si>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</si>
  <si>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</si>
  <si>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</si>
  <si>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</si>
  <si>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</si>
  <si>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</si>
  <si>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</si>
  <si>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</si>
  <si>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</si>
  <si>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</si>
  <si>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</si>
  <si>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</si>
  <si>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</si>
  <si>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</si>
  <si>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</si>
  <si>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</si>
  <si>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</si>
  <si>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</si>
  <si>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</si>
  <si>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</si>
  <si>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</si>
  <si>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</si>
  <si>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</si>
  <si>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</si>
  <si>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</si>
  <si>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</si>
  <si>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</si>
  <si>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</si>
  <si>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</si>
  <si>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</si>
  <si>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</si>
  <si>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</si>
  <si>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</si>
  <si>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</si>
  <si>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</si>
  <si>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</si>
  <si>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</si>
  <si>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</si>
  <si>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</si>
  <si>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</si>
  <si>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</si>
  <si>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</si>
  <si>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</si>
  <si>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</si>
  <si>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</si>
  <si>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</si>
  <si>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</si>
  <si>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</si>
  <si>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</si>
  <si>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</si>
  <si>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</si>
  <si>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</si>
  <si>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</si>
  <si>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</si>
  <si>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</si>
  <si>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</si>
  <si>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</si>
  <si>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</si>
  <si>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</si>
  <si>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</si>
  <si>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</si>
  <si>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</si>
  <si>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</si>
  <si>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</si>
  <si>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</si>
  <si>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</si>
  <si>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</si>
  <si>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</si>
  <si>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</si>
  <si>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</si>
  <si>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</si>
  <si>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</si>
  <si>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</si>
  <si>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</si>
  <si>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</si>
  <si>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</si>
  <si>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</si>
  <si>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</si>
  <si>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</si>
  <si>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</si>
  <si>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</si>
  <si>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</si>
  <si>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</si>
  <si>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</si>
  <si>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</si>
  <si>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</si>
  <si>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</si>
  <si>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</si>
  <si>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</si>
  <si>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</si>
  <si>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</si>
  <si>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</si>
  <si>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</si>
  <si>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</si>
  <si>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</si>
  <si>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</si>
  <si>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</si>
  <si>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</si>
  <si>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</si>
  <si>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</si>
  <si>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</si>
  <si>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</si>
  <si>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</si>
  <si>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</si>
  <si>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</si>
  <si>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</si>
  <si>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</si>
  <si>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</si>
  <si>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</si>
  <si>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</si>
  <si>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</si>
  <si>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</si>
  <si>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</si>
  <si>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</si>
  <si>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</si>
  <si>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</si>
  <si>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</si>
  <si>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</si>
  <si>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</si>
  <si>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</si>
  <si>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</si>
  <si>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</si>
  <si>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</si>
  <si>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</si>
  <si>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</si>
  <si>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</si>
  <si>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</si>
  <si>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</si>
  <si>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</si>
  <si>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</si>
  <si>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</si>
  <si>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</si>
  <si>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</si>
  <si>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</si>
  <si>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</si>
  <si>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</si>
  <si>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</si>
  <si>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</si>
  <si>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</si>
  <si>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</si>
  <si>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</si>
  <si>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</si>
  <si>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</si>
  <si>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</si>
  <si>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</si>
  <si>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</si>
  <si>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</si>
  <si>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</si>
  <si>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</si>
  <si>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</si>
  <si>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</si>
  <si>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</si>
  <si>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</si>
  <si>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</si>
  <si>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</si>
  <si>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</si>
  <si>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</si>
  <si>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</si>
  <si>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PEMBROKE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</si>
</sst>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0" activePane="bottomRight" state="frozen"/>
      <selection activeCell="N11" sqref="N11"/>
      <selection pane="topRight" activeCell="N11" sqref="N11"/>
      <selection pane="bottomLeft" activeCell="N11" sqref="N11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427</v>
      </c>
      <c r="C2" s="21">
        <v>427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1508413.01</v>
      </c>
      <c r="G9" s="18">
        <v>369920.57</v>
      </c>
      <c r="H9" s="18"/>
      <c r="I9" s="18"/>
      <c r="J9" s="67">
        <f>SUM(I439)</f>
        <v>916103.63000000012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13159.13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v>96941.23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365917.93</v>
      </c>
      <c r="G14" s="18">
        <v>0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24558.35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 t="s">
        <v>353</v>
      </c>
      <c r="G18" s="18"/>
      <c r="H18" s="145">
        <v>7301.06</v>
      </c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1874330.94</v>
      </c>
      <c r="G19" s="41">
        <f>SUM(G9:G18)</f>
        <v>407638.05</v>
      </c>
      <c r="H19" s="41">
        <f>SUM(H9:H18)</f>
        <v>104242.29</v>
      </c>
      <c r="I19" s="41">
        <f>SUM(I9:I18)</f>
        <v>0</v>
      </c>
      <c r="J19" s="41">
        <f>SUM(J9:J18)</f>
        <v>916103.63000000012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-276686.3</v>
      </c>
      <c r="G22" s="18">
        <v>192141.65</v>
      </c>
      <c r="H22" s="18">
        <v>91845.71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733444.68</v>
      </c>
      <c r="G23" s="18">
        <v>3329.43</v>
      </c>
      <c r="H23" s="18">
        <v>5095.5200000000004</v>
      </c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25325.84</v>
      </c>
      <c r="G24" s="18">
        <v>0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12010.37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/>
      <c r="H30" s="18">
        <v>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>
        <v>0</v>
      </c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494094.59000000008</v>
      </c>
      <c r="G32" s="41">
        <f>SUM(G22:G31)</f>
        <v>195471.08</v>
      </c>
      <c r="H32" s="41">
        <f>SUM(H22:H31)</f>
        <v>96941.23000000001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212166.97</v>
      </c>
      <c r="H48" s="18">
        <v>7301.06</v>
      </c>
      <c r="I48" s="18"/>
      <c r="J48" s="13">
        <f>SUM(I459)</f>
        <v>916103.63000000012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1380236.35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1380236.35</v>
      </c>
      <c r="G51" s="41">
        <f>SUM(G35:G50)</f>
        <v>212166.97</v>
      </c>
      <c r="H51" s="41">
        <f>SUM(H35:H50)</f>
        <v>7301.06</v>
      </c>
      <c r="I51" s="41">
        <f>SUM(I35:I50)</f>
        <v>0</v>
      </c>
      <c r="J51" s="41">
        <f>SUM(J35:J50)</f>
        <v>916103.63000000012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1874330.9400000002</v>
      </c>
      <c r="G52" s="41">
        <f>G51+G32</f>
        <v>407638.05</v>
      </c>
      <c r="H52" s="41">
        <f>H51+H32</f>
        <v>104242.29000000001</v>
      </c>
      <c r="I52" s="41">
        <f>I51+I32</f>
        <v>0</v>
      </c>
      <c r="J52" s="41">
        <f>J51+J32</f>
        <v>916103.63000000012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11767470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11767470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42905.43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5797685.2800000003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543513.48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6384104.1899999995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7400.35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7400.35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5124.05</v>
      </c>
      <c r="G96" s="18">
        <v>96.88</v>
      </c>
      <c r="H96" s="18"/>
      <c r="I96" s="18"/>
      <c r="J96" s="18">
        <v>91.62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359507.59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5225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41663.82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/>
      <c r="H102" s="18">
        <v>1299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261361.6</v>
      </c>
      <c r="G110" s="18">
        <v>18156.150000000001</v>
      </c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313374.46999999997</v>
      </c>
      <c r="G111" s="41">
        <f>SUM(G96:G110)</f>
        <v>377760.62000000005</v>
      </c>
      <c r="H111" s="41">
        <f>SUM(H96:H110)</f>
        <v>1299</v>
      </c>
      <c r="I111" s="41">
        <f>SUM(I96:I110)</f>
        <v>0</v>
      </c>
      <c r="J111" s="41">
        <f>SUM(J96:J110)</f>
        <v>91.62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18472349.009999998</v>
      </c>
      <c r="G112" s="41">
        <f>G60+G111</f>
        <v>377760.62000000005</v>
      </c>
      <c r="H112" s="41">
        <f>H60+H79+H94+H111</f>
        <v>1299</v>
      </c>
      <c r="I112" s="41">
        <f>I60+I111</f>
        <v>0</v>
      </c>
      <c r="J112" s="41">
        <f>J60+J111</f>
        <v>91.62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5302873.5199999996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1363902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16029.07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6682804.5899999999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239356.49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11587.46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7153.2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8908.98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258097.15</v>
      </c>
      <c r="G136" s="41">
        <f>SUM(G123:G135)</f>
        <v>8908.98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6940901.7400000002</v>
      </c>
      <c r="G140" s="41">
        <f>G121+SUM(G136:G137)</f>
        <v>8908.98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346963.25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47226.85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28049.81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253753.64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352004.87</v>
      </c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130077.26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0</v>
      </c>
      <c r="H161" s="18">
        <v>0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482082.13</v>
      </c>
      <c r="G162" s="41">
        <f>SUM(G150:G161)</f>
        <v>253753.64</v>
      </c>
      <c r="H162" s="41">
        <f>SUM(H150:H161)</f>
        <v>422239.91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482082.13</v>
      </c>
      <c r="G169" s="41">
        <f>G147+G162+SUM(G163:G168)</f>
        <v>253753.64</v>
      </c>
      <c r="H169" s="41">
        <f>H147+H162+SUM(H163:H168)</f>
        <v>422239.91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6977.45</v>
      </c>
      <c r="H179" s="18"/>
      <c r="I179" s="18"/>
      <c r="J179" s="18">
        <v>180000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6977.45</v>
      </c>
      <c r="H183" s="41">
        <f>SUM(H179:H182)</f>
        <v>0</v>
      </c>
      <c r="I183" s="41">
        <f>SUM(I179:I182)</f>
        <v>0</v>
      </c>
      <c r="J183" s="41">
        <f>SUM(J179:J182)</f>
        <v>180000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120000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100000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220000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220000</v>
      </c>
      <c r="G192" s="41">
        <f>G183+SUM(G188:G191)</f>
        <v>6977.45</v>
      </c>
      <c r="H192" s="41">
        <f>+H183+SUM(H188:H191)</f>
        <v>0</v>
      </c>
      <c r="I192" s="41">
        <f>I177+I183+SUM(I188:I191)</f>
        <v>0</v>
      </c>
      <c r="J192" s="41">
        <f>J183</f>
        <v>180000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26115332.879999999</v>
      </c>
      <c r="G193" s="47">
        <f>G112+G140+G169+G192</f>
        <v>647400.68999999994</v>
      </c>
      <c r="H193" s="47">
        <f>H112+H140+H169+H192</f>
        <v>423538.91</v>
      </c>
      <c r="I193" s="47">
        <f>I112+I140+I169+I192</f>
        <v>0</v>
      </c>
      <c r="J193" s="47">
        <f>J112+J140+J192</f>
        <v>180091.62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3559163.27</v>
      </c>
      <c r="G197" s="18">
        <v>2006462.21</v>
      </c>
      <c r="H197" s="18">
        <v>58889.33</v>
      </c>
      <c r="I197" s="18">
        <v>83222.679999999993</v>
      </c>
      <c r="J197" s="18">
        <v>100198.46</v>
      </c>
      <c r="K197" s="18">
        <v>0</v>
      </c>
      <c r="L197" s="19">
        <f>SUM(F197:K197)</f>
        <v>5807935.9500000002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1294420.83</v>
      </c>
      <c r="G198" s="18">
        <v>729723.89</v>
      </c>
      <c r="H198" s="18">
        <v>534915.52</v>
      </c>
      <c r="I198" s="18">
        <v>2797.09</v>
      </c>
      <c r="J198" s="18">
        <v>2136.19</v>
      </c>
      <c r="K198" s="18">
        <v>690</v>
      </c>
      <c r="L198" s="19">
        <f>SUM(F198:K198)</f>
        <v>2564683.52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31827</v>
      </c>
      <c r="G200" s="18">
        <v>17942.330000000002</v>
      </c>
      <c r="H200" s="18">
        <v>4524</v>
      </c>
      <c r="I200" s="18">
        <v>6893.2</v>
      </c>
      <c r="J200" s="18">
        <v>0</v>
      </c>
      <c r="K200" s="18">
        <v>220</v>
      </c>
      <c r="L200" s="19">
        <f>SUM(F200:K200)</f>
        <v>61406.53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334629.3</v>
      </c>
      <c r="G202" s="18">
        <v>188645.76000000001</v>
      </c>
      <c r="H202" s="18">
        <v>623184.37</v>
      </c>
      <c r="I202" s="18">
        <v>3459.54</v>
      </c>
      <c r="J202" s="18">
        <v>0</v>
      </c>
      <c r="K202" s="18">
        <v>0</v>
      </c>
      <c r="L202" s="19">
        <f t="shared" ref="L202:L208" si="0">SUM(F202:K202)</f>
        <v>1149918.97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143222.39000000001</v>
      </c>
      <c r="G203" s="18">
        <v>80740.98</v>
      </c>
      <c r="H203" s="18">
        <v>50611.040000000001</v>
      </c>
      <c r="I203" s="18">
        <v>16637.11</v>
      </c>
      <c r="J203" s="18">
        <v>463.72</v>
      </c>
      <c r="K203" s="18">
        <v>0</v>
      </c>
      <c r="L203" s="19">
        <f t="shared" si="0"/>
        <v>291675.23999999993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4494.0200000000004</v>
      </c>
      <c r="G204" s="18">
        <v>2533.48</v>
      </c>
      <c r="H204" s="18">
        <v>359751.87</v>
      </c>
      <c r="I204" s="18">
        <v>1395.02</v>
      </c>
      <c r="J204" s="18"/>
      <c r="K204" s="18">
        <v>6733.82</v>
      </c>
      <c r="L204" s="19">
        <f t="shared" si="0"/>
        <v>374908.21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558329.56000000006</v>
      </c>
      <c r="G205" s="18">
        <v>314755.77</v>
      </c>
      <c r="H205" s="18">
        <v>45630.06</v>
      </c>
      <c r="I205" s="18">
        <v>1853.29</v>
      </c>
      <c r="J205" s="18">
        <v>0</v>
      </c>
      <c r="K205" s="18">
        <v>3091.74</v>
      </c>
      <c r="L205" s="19">
        <f t="shared" si="0"/>
        <v>923660.42000000016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325022.73</v>
      </c>
      <c r="G207" s="18">
        <v>183230.09</v>
      </c>
      <c r="H207" s="18">
        <v>294505.08</v>
      </c>
      <c r="I207" s="18">
        <v>160633.76</v>
      </c>
      <c r="J207" s="18">
        <v>1657.5</v>
      </c>
      <c r="K207" s="18">
        <v>0</v>
      </c>
      <c r="L207" s="19">
        <f t="shared" si="0"/>
        <v>965049.15999999992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536260.43000000005</v>
      </c>
      <c r="I208" s="18"/>
      <c r="J208" s="18"/>
      <c r="K208" s="18"/>
      <c r="L208" s="19">
        <f t="shared" si="0"/>
        <v>536260.43000000005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6251109.0999999996</v>
      </c>
      <c r="G211" s="41">
        <f t="shared" si="1"/>
        <v>3524034.5100000002</v>
      </c>
      <c r="H211" s="41">
        <f t="shared" si="1"/>
        <v>2508271.7000000002</v>
      </c>
      <c r="I211" s="41">
        <f t="shared" si="1"/>
        <v>276891.69</v>
      </c>
      <c r="J211" s="41">
        <f t="shared" si="1"/>
        <v>104455.87000000001</v>
      </c>
      <c r="K211" s="41">
        <f t="shared" si="1"/>
        <v>10735.56</v>
      </c>
      <c r="L211" s="41">
        <f t="shared" si="1"/>
        <v>12675498.430000002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2750149.99</v>
      </c>
      <c r="G233" s="18">
        <v>1532045.72</v>
      </c>
      <c r="H233" s="18">
        <v>35882.699999999997</v>
      </c>
      <c r="I233" s="18">
        <v>55493.88</v>
      </c>
      <c r="J233" s="18">
        <v>78659.199999999997</v>
      </c>
      <c r="K233" s="18">
        <v>275</v>
      </c>
      <c r="L233" s="19">
        <f>SUM(F233:K233)</f>
        <v>4452506.49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843240.95999999996</v>
      </c>
      <c r="G234" s="18">
        <v>469750.27</v>
      </c>
      <c r="H234" s="18">
        <v>238744.94</v>
      </c>
      <c r="I234" s="18">
        <v>5937.5</v>
      </c>
      <c r="J234" s="18">
        <v>13219.93</v>
      </c>
      <c r="K234" s="18">
        <v>710</v>
      </c>
      <c r="L234" s="19">
        <f>SUM(F234:K234)</f>
        <v>1571603.5999999999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418297</v>
      </c>
      <c r="G235" s="18">
        <v>233023.7</v>
      </c>
      <c r="H235" s="18">
        <v>166904.74</v>
      </c>
      <c r="I235" s="18">
        <v>18175.259999999998</v>
      </c>
      <c r="J235" s="18">
        <v>257.94</v>
      </c>
      <c r="K235" s="18">
        <v>0</v>
      </c>
      <c r="L235" s="19">
        <f>SUM(F235:K235)</f>
        <v>836658.6399999999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263585</v>
      </c>
      <c r="G236" s="18">
        <v>146837.18</v>
      </c>
      <c r="H236" s="18">
        <v>62833.91</v>
      </c>
      <c r="I236" s="18">
        <v>17675.78</v>
      </c>
      <c r="J236" s="18">
        <v>1442</v>
      </c>
      <c r="K236" s="18">
        <v>45295.76</v>
      </c>
      <c r="L236" s="19">
        <f>SUM(F236:K236)</f>
        <v>537669.63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406950.26</v>
      </c>
      <c r="G238" s="18">
        <v>226702.69</v>
      </c>
      <c r="H238" s="18">
        <v>120408.4</v>
      </c>
      <c r="I238" s="18">
        <v>388.48</v>
      </c>
      <c r="J238" s="18">
        <v>0</v>
      </c>
      <c r="K238" s="18">
        <v>1955</v>
      </c>
      <c r="L238" s="19">
        <f t="shared" ref="L238:L244" si="4">SUM(F238:K238)</f>
        <v>756404.83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90693.27</v>
      </c>
      <c r="G239" s="18">
        <v>50523.15</v>
      </c>
      <c r="H239" s="18">
        <v>35146.81</v>
      </c>
      <c r="I239" s="18">
        <v>18006.59</v>
      </c>
      <c r="J239" s="18">
        <v>0</v>
      </c>
      <c r="K239" s="18">
        <v>0</v>
      </c>
      <c r="L239" s="19">
        <f t="shared" si="4"/>
        <v>194369.82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4245.9799999999996</v>
      </c>
      <c r="G240" s="18">
        <v>2365.34</v>
      </c>
      <c r="H240" s="18">
        <v>360250.9</v>
      </c>
      <c r="I240" s="18">
        <v>1526.01</v>
      </c>
      <c r="J240" s="18">
        <v>0</v>
      </c>
      <c r="K240" s="18">
        <v>4231.62</v>
      </c>
      <c r="L240" s="19">
        <f t="shared" si="4"/>
        <v>372619.85000000003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726734.45</v>
      </c>
      <c r="G241" s="18">
        <v>404847.16</v>
      </c>
      <c r="H241" s="18">
        <v>56769.66</v>
      </c>
      <c r="I241" s="18">
        <v>7358.78</v>
      </c>
      <c r="J241" s="18">
        <v>799.92</v>
      </c>
      <c r="K241" s="18">
        <v>16145.55</v>
      </c>
      <c r="L241" s="19">
        <f t="shared" si="4"/>
        <v>1212655.5199999998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293978.09999999998</v>
      </c>
      <c r="G243" s="18">
        <v>163768.48000000001</v>
      </c>
      <c r="H243" s="18">
        <v>202285.07</v>
      </c>
      <c r="I243" s="18">
        <v>241211.44</v>
      </c>
      <c r="J243" s="18">
        <v>17469.810000000001</v>
      </c>
      <c r="K243" s="18">
        <v>0</v>
      </c>
      <c r="L243" s="19">
        <f t="shared" si="4"/>
        <v>918712.89999999991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188581.3</v>
      </c>
      <c r="I244" s="18"/>
      <c r="J244" s="18"/>
      <c r="K244" s="18"/>
      <c r="L244" s="19">
        <f t="shared" si="4"/>
        <v>188581.3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5797875.0099999998</v>
      </c>
      <c r="G247" s="41">
        <f t="shared" si="5"/>
        <v>3229863.69</v>
      </c>
      <c r="H247" s="41">
        <f t="shared" si="5"/>
        <v>1467808.4300000002</v>
      </c>
      <c r="I247" s="41">
        <f t="shared" si="5"/>
        <v>365773.72</v>
      </c>
      <c r="J247" s="41">
        <f t="shared" si="5"/>
        <v>111848.8</v>
      </c>
      <c r="K247" s="41">
        <f t="shared" si="5"/>
        <v>68612.930000000008</v>
      </c>
      <c r="L247" s="41">
        <f t="shared" si="5"/>
        <v>11041782.58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888336</v>
      </c>
      <c r="I255" s="18"/>
      <c r="J255" s="18"/>
      <c r="K255" s="18"/>
      <c r="L255" s="19">
        <f t="shared" si="6"/>
        <v>888336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888336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888336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12048984.109999999</v>
      </c>
      <c r="G257" s="41">
        <f t="shared" si="8"/>
        <v>6753898.2000000002</v>
      </c>
      <c r="H257" s="41">
        <f t="shared" si="8"/>
        <v>4864416.1300000008</v>
      </c>
      <c r="I257" s="41">
        <f t="shared" si="8"/>
        <v>642665.40999999992</v>
      </c>
      <c r="J257" s="41">
        <f t="shared" si="8"/>
        <v>216304.67</v>
      </c>
      <c r="K257" s="41">
        <f t="shared" si="8"/>
        <v>79348.490000000005</v>
      </c>
      <c r="L257" s="41">
        <f t="shared" si="8"/>
        <v>24605617.010000002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45000</v>
      </c>
      <c r="L260" s="19">
        <f>SUM(F260:K260)</f>
        <v>45000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13950</v>
      </c>
      <c r="L261" s="19">
        <f>SUM(F261:K261)</f>
        <v>13950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6977.45</v>
      </c>
      <c r="L263" s="19">
        <f>SUM(F263:K263)</f>
        <v>6977.45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180000</v>
      </c>
      <c r="L266" s="19">
        <f t="shared" si="9"/>
        <v>180000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36374.92</v>
      </c>
      <c r="L268" s="19">
        <f t="shared" si="9"/>
        <v>36374.92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282302.37</v>
      </c>
      <c r="L270" s="41">
        <f t="shared" si="9"/>
        <v>282302.37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12048984.109999999</v>
      </c>
      <c r="G271" s="42">
        <f t="shared" si="11"/>
        <v>6753898.2000000002</v>
      </c>
      <c r="H271" s="42">
        <f t="shared" si="11"/>
        <v>4864416.1300000008</v>
      </c>
      <c r="I271" s="42">
        <f t="shared" si="11"/>
        <v>642665.40999999992</v>
      </c>
      <c r="J271" s="42">
        <f t="shared" si="11"/>
        <v>216304.67</v>
      </c>
      <c r="K271" s="42">
        <f t="shared" si="11"/>
        <v>361650.86</v>
      </c>
      <c r="L271" s="42">
        <f t="shared" si="11"/>
        <v>24887919.380000003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192239</v>
      </c>
      <c r="G276" s="18">
        <v>27663.3</v>
      </c>
      <c r="H276" s="18">
        <v>0</v>
      </c>
      <c r="I276" s="18">
        <v>4976.3</v>
      </c>
      <c r="J276" s="18">
        <v>3855.01</v>
      </c>
      <c r="K276" s="18">
        <v>0</v>
      </c>
      <c r="L276" s="19">
        <f>SUM(F276:K276)</f>
        <v>228733.61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400</v>
      </c>
      <c r="G277" s="18">
        <v>29.9</v>
      </c>
      <c r="H277" s="18"/>
      <c r="I277" s="18">
        <v>2271.5100000000002</v>
      </c>
      <c r="J277" s="18"/>
      <c r="K277" s="18"/>
      <c r="L277" s="19">
        <f>SUM(F277:K277)</f>
        <v>2701.4100000000003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500</v>
      </c>
      <c r="G279" s="18">
        <v>126.83</v>
      </c>
      <c r="H279" s="18"/>
      <c r="I279" s="18">
        <v>5686.02</v>
      </c>
      <c r="J279" s="18"/>
      <c r="K279" s="18"/>
      <c r="L279" s="19">
        <f>SUM(F279:K279)</f>
        <v>6312.85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10341</v>
      </c>
      <c r="G281" s="18">
        <v>2388.08</v>
      </c>
      <c r="H281" s="18">
        <v>6157.4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18886.48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3400</v>
      </c>
      <c r="G282" s="18">
        <v>282.2</v>
      </c>
      <c r="H282" s="18">
        <v>18032</v>
      </c>
      <c r="I282" s="18"/>
      <c r="J282" s="18"/>
      <c r="K282" s="18"/>
      <c r="L282" s="19">
        <f t="shared" si="12"/>
        <v>21714.2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6294.13</v>
      </c>
      <c r="L283" s="19">
        <f t="shared" si="12"/>
        <v>6294.13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10752.79</v>
      </c>
      <c r="I287" s="18"/>
      <c r="J287" s="18"/>
      <c r="K287" s="18"/>
      <c r="L287" s="19">
        <f t="shared" si="12"/>
        <v>10752.79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206880</v>
      </c>
      <c r="G290" s="42">
        <f t="shared" si="13"/>
        <v>30490.31</v>
      </c>
      <c r="H290" s="42">
        <f t="shared" si="13"/>
        <v>34942.19</v>
      </c>
      <c r="I290" s="42">
        <f t="shared" si="13"/>
        <v>12933.830000000002</v>
      </c>
      <c r="J290" s="42">
        <f t="shared" si="13"/>
        <v>3855.01</v>
      </c>
      <c r="K290" s="42">
        <f t="shared" si="13"/>
        <v>6294.13</v>
      </c>
      <c r="L290" s="41">
        <f t="shared" si="13"/>
        <v>295395.46999999997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51415.14</v>
      </c>
      <c r="G314" s="18">
        <v>5919.92</v>
      </c>
      <c r="H314" s="18"/>
      <c r="I314" s="18">
        <v>21473.99</v>
      </c>
      <c r="J314" s="18">
        <v>18867.77</v>
      </c>
      <c r="K314" s="18"/>
      <c r="L314" s="19">
        <f>SUM(F314:K314)</f>
        <v>97676.82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>
        <v>1879.37</v>
      </c>
      <c r="L321" s="19">
        <f t="shared" si="16"/>
        <v>1879.37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2636.89</v>
      </c>
      <c r="I325" s="18"/>
      <c r="J325" s="18"/>
      <c r="K325" s="18"/>
      <c r="L325" s="19">
        <f t="shared" si="16"/>
        <v>2636.89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51415.14</v>
      </c>
      <c r="G328" s="42">
        <f t="shared" si="17"/>
        <v>5919.92</v>
      </c>
      <c r="H328" s="42">
        <f t="shared" si="17"/>
        <v>2636.89</v>
      </c>
      <c r="I328" s="42">
        <f t="shared" si="17"/>
        <v>21473.99</v>
      </c>
      <c r="J328" s="42">
        <f t="shared" si="17"/>
        <v>18867.77</v>
      </c>
      <c r="K328" s="42">
        <f t="shared" si="17"/>
        <v>1879.37</v>
      </c>
      <c r="L328" s="41">
        <f t="shared" si="17"/>
        <v>102193.08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21750</v>
      </c>
      <c r="G333" s="18">
        <v>5003.88</v>
      </c>
      <c r="H333" s="18"/>
      <c r="I333" s="18">
        <v>790.88</v>
      </c>
      <c r="J333" s="18"/>
      <c r="K333" s="18">
        <v>505.05</v>
      </c>
      <c r="L333" s="19">
        <f t="shared" si="18"/>
        <v>28049.81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21750</v>
      </c>
      <c r="G337" s="41">
        <f t="shared" si="19"/>
        <v>5003.88</v>
      </c>
      <c r="H337" s="41">
        <f t="shared" si="19"/>
        <v>0</v>
      </c>
      <c r="I337" s="41">
        <f t="shared" si="19"/>
        <v>790.88</v>
      </c>
      <c r="J337" s="41">
        <f t="shared" si="19"/>
        <v>0</v>
      </c>
      <c r="K337" s="41">
        <f t="shared" si="19"/>
        <v>505.05</v>
      </c>
      <c r="L337" s="41">
        <f t="shared" si="18"/>
        <v>28049.81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280045.14</v>
      </c>
      <c r="G338" s="41">
        <f t="shared" si="20"/>
        <v>41414.11</v>
      </c>
      <c r="H338" s="41">
        <f t="shared" si="20"/>
        <v>37579.08</v>
      </c>
      <c r="I338" s="41">
        <f t="shared" si="20"/>
        <v>35198.700000000004</v>
      </c>
      <c r="J338" s="41">
        <f t="shared" si="20"/>
        <v>22722.78</v>
      </c>
      <c r="K338" s="41">
        <f t="shared" si="20"/>
        <v>8678.5499999999993</v>
      </c>
      <c r="L338" s="41">
        <f t="shared" si="20"/>
        <v>425638.36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280045.14</v>
      </c>
      <c r="G352" s="41">
        <f>G338</f>
        <v>41414.11</v>
      </c>
      <c r="H352" s="41">
        <f>H338</f>
        <v>37579.08</v>
      </c>
      <c r="I352" s="41">
        <f>I338</f>
        <v>35198.700000000004</v>
      </c>
      <c r="J352" s="41">
        <f>J338</f>
        <v>22722.78</v>
      </c>
      <c r="K352" s="47">
        <f>K338+K351</f>
        <v>8678.5499999999993</v>
      </c>
      <c r="L352" s="41">
        <f>L338+L351</f>
        <v>425638.36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107138.61</v>
      </c>
      <c r="G358" s="18">
        <v>59851.13</v>
      </c>
      <c r="H358" s="18">
        <v>7410.37</v>
      </c>
      <c r="I358" s="18">
        <v>109386.69</v>
      </c>
      <c r="J358" s="18">
        <v>2804.97</v>
      </c>
      <c r="K358" s="18">
        <v>270</v>
      </c>
      <c r="L358" s="13">
        <f>SUM(F358:K358)</f>
        <v>286861.76999999996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130947.18</v>
      </c>
      <c r="G360" s="18">
        <v>73151.39</v>
      </c>
      <c r="H360" s="18">
        <v>9057.1200000000008</v>
      </c>
      <c r="I360" s="18">
        <v>133694.84</v>
      </c>
      <c r="J360" s="18">
        <v>3428.3</v>
      </c>
      <c r="K360" s="18">
        <v>330</v>
      </c>
      <c r="L360" s="19">
        <f>SUM(F360:K360)</f>
        <v>350608.83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238085.78999999998</v>
      </c>
      <c r="G362" s="47">
        <f t="shared" si="22"/>
        <v>133002.51999999999</v>
      </c>
      <c r="H362" s="47">
        <f t="shared" si="22"/>
        <v>16467.490000000002</v>
      </c>
      <c r="I362" s="47">
        <f t="shared" si="22"/>
        <v>243081.53</v>
      </c>
      <c r="J362" s="47">
        <f t="shared" si="22"/>
        <v>6233.27</v>
      </c>
      <c r="K362" s="47">
        <f t="shared" si="22"/>
        <v>600</v>
      </c>
      <c r="L362" s="47">
        <f t="shared" si="22"/>
        <v>637470.6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101623.88</v>
      </c>
      <c r="G367" s="18"/>
      <c r="H367" s="18">
        <v>124206.96</v>
      </c>
      <c r="I367" s="56">
        <f>SUM(F367:H367)</f>
        <v>225830.84000000003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7762.81</v>
      </c>
      <c r="G368" s="63"/>
      <c r="H368" s="63">
        <v>9487.8799999999992</v>
      </c>
      <c r="I368" s="56">
        <f>SUM(F368:H368)</f>
        <v>17250.689999999999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109386.69</v>
      </c>
      <c r="G369" s="47">
        <f>SUM(G367:G368)</f>
        <v>0</v>
      </c>
      <c r="H369" s="47">
        <f>SUM(H367:H368)</f>
        <v>133694.84</v>
      </c>
      <c r="I369" s="47">
        <f>SUM(I367:I368)</f>
        <v>243081.53000000003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100000</v>
      </c>
      <c r="H389" s="18">
        <v>20.43</v>
      </c>
      <c r="I389" s="18"/>
      <c r="J389" s="24" t="s">
        <v>286</v>
      </c>
      <c r="K389" s="24" t="s">
        <v>286</v>
      </c>
      <c r="L389" s="56">
        <f t="shared" si="25"/>
        <v>100020.43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100000</v>
      </c>
      <c r="H393" s="139">
        <f>SUM(H387:H392)</f>
        <v>20.43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100020.43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70000</v>
      </c>
      <c r="H396" s="18">
        <v>21.32</v>
      </c>
      <c r="I396" s="18"/>
      <c r="J396" s="24" t="s">
        <v>286</v>
      </c>
      <c r="K396" s="24" t="s">
        <v>286</v>
      </c>
      <c r="L396" s="56">
        <f t="shared" si="26"/>
        <v>70021.320000000007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36.86</v>
      </c>
      <c r="I397" s="18"/>
      <c r="J397" s="24" t="s">
        <v>286</v>
      </c>
      <c r="K397" s="24" t="s">
        <v>286</v>
      </c>
      <c r="L397" s="56">
        <f t="shared" si="26"/>
        <v>36.86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10000</v>
      </c>
      <c r="H399" s="18">
        <v>3.57</v>
      </c>
      <c r="I399" s="18"/>
      <c r="J399" s="24" t="s">
        <v>286</v>
      </c>
      <c r="K399" s="24" t="s">
        <v>286</v>
      </c>
      <c r="L399" s="56">
        <f t="shared" si="26"/>
        <v>10003.57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9.44</v>
      </c>
      <c r="I400" s="18"/>
      <c r="J400" s="24" t="s">
        <v>286</v>
      </c>
      <c r="K400" s="24" t="s">
        <v>286</v>
      </c>
      <c r="L400" s="56">
        <f t="shared" si="26"/>
        <v>9.44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80000</v>
      </c>
      <c r="H401" s="47">
        <f>SUM(H395:H400)</f>
        <v>71.19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80071.19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180000</v>
      </c>
      <c r="H408" s="47">
        <f>H393+H401+H407</f>
        <v>91.62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180091.62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94342.45</v>
      </c>
      <c r="L415" s="56">
        <f t="shared" si="27"/>
        <v>94342.45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94342.45</v>
      </c>
      <c r="L419" s="47">
        <f t="shared" si="28"/>
        <v>94342.45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94342.45</v>
      </c>
      <c r="L434" s="47">
        <f t="shared" si="32"/>
        <v>94342.45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169710.95</v>
      </c>
      <c r="G439" s="18"/>
      <c r="H439" s="18">
        <v>746392.68</v>
      </c>
      <c r="I439" s="56">
        <f t="shared" ref="I439:I445" si="33">SUM(F439:H439)</f>
        <v>916103.63000000012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169710.95</v>
      </c>
      <c r="G446" s="13">
        <f>SUM(G439:G445)</f>
        <v>0</v>
      </c>
      <c r="H446" s="13">
        <f>SUM(H439:H445)</f>
        <v>746392.68</v>
      </c>
      <c r="I446" s="13">
        <f>SUM(I439:I445)</f>
        <v>916103.63000000012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169710.95</v>
      </c>
      <c r="G459" s="18"/>
      <c r="H459" s="18">
        <v>746392.68</v>
      </c>
      <c r="I459" s="56">
        <f t="shared" si="34"/>
        <v>916103.63000000012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169710.95</v>
      </c>
      <c r="G460" s="83">
        <f>SUM(G454:G459)</f>
        <v>0</v>
      </c>
      <c r="H460" s="83">
        <f>SUM(H454:H459)</f>
        <v>746392.68</v>
      </c>
      <c r="I460" s="83">
        <f>SUM(I454:I459)</f>
        <v>916103.63000000012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169710.95</v>
      </c>
      <c r="G461" s="42">
        <f>G452+G460</f>
        <v>0</v>
      </c>
      <c r="H461" s="42">
        <f>H452+H460</f>
        <v>746392.68</v>
      </c>
      <c r="I461" s="42">
        <f>I452+I460</f>
        <v>916103.63000000012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152822.85</v>
      </c>
      <c r="G465" s="18">
        <v>202236.88</v>
      </c>
      <c r="H465" s="18">
        <v>9400.51</v>
      </c>
      <c r="I465" s="18"/>
      <c r="J465" s="18">
        <v>830354.46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26115332.879999999</v>
      </c>
      <c r="G468" s="18">
        <v>647400.68999999994</v>
      </c>
      <c r="H468" s="18">
        <v>423538.91</v>
      </c>
      <c r="I468" s="18"/>
      <c r="J468" s="18">
        <v>180091.62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26115332.879999999</v>
      </c>
      <c r="G470" s="53">
        <f>SUM(G468:G469)</f>
        <v>647400.68999999994</v>
      </c>
      <c r="H470" s="53">
        <f>SUM(H468:H469)</f>
        <v>423538.91</v>
      </c>
      <c r="I470" s="53">
        <f>SUM(I468:I469)</f>
        <v>0</v>
      </c>
      <c r="J470" s="53">
        <f>SUM(J468:J469)</f>
        <v>180091.62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24887919.379999999</v>
      </c>
      <c r="G472" s="18">
        <v>637470.6</v>
      </c>
      <c r="H472" s="18">
        <v>425638.36</v>
      </c>
      <c r="I472" s="18"/>
      <c r="J472" s="18">
        <v>94342.45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24887919.379999999</v>
      </c>
      <c r="G474" s="53">
        <f>SUM(G472:G473)</f>
        <v>637470.6</v>
      </c>
      <c r="H474" s="53">
        <f>SUM(H472:H473)</f>
        <v>425638.36</v>
      </c>
      <c r="I474" s="53">
        <f>SUM(I472:I473)</f>
        <v>0</v>
      </c>
      <c r="J474" s="53">
        <f>SUM(J472:J473)</f>
        <v>94342.45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1380236.3500000015</v>
      </c>
      <c r="G476" s="53">
        <f>(G465+G470)- G474</f>
        <v>212166.96999999997</v>
      </c>
      <c r="H476" s="53">
        <f>(H465+H470)- H474</f>
        <v>7301.0599999999977</v>
      </c>
      <c r="I476" s="53">
        <f>(I465+I470)- I474</f>
        <v>0</v>
      </c>
      <c r="J476" s="53">
        <f>(J465+J470)- J474</f>
        <v>916103.63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</f>
        <v>1294420.83</v>
      </c>
      <c r="G521" s="18">
        <f t="shared" ref="G521:K521" si="36">G198</f>
        <v>729723.89</v>
      </c>
      <c r="H521" s="18">
        <f t="shared" si="36"/>
        <v>534915.52</v>
      </c>
      <c r="I521" s="18">
        <f t="shared" si="36"/>
        <v>2797.09</v>
      </c>
      <c r="J521" s="18">
        <f t="shared" si="36"/>
        <v>2136.19</v>
      </c>
      <c r="K521" s="18">
        <f t="shared" si="36"/>
        <v>690</v>
      </c>
      <c r="L521" s="88">
        <f>SUM(F521:K521)</f>
        <v>2564683.52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</f>
        <v>843240.95999999996</v>
      </c>
      <c r="G523" s="18">
        <f t="shared" ref="G523:K523" si="37">G234</f>
        <v>469750.27</v>
      </c>
      <c r="H523" s="18">
        <f t="shared" si="37"/>
        <v>238744.94</v>
      </c>
      <c r="I523" s="18">
        <f t="shared" si="37"/>
        <v>5937.5</v>
      </c>
      <c r="J523" s="18">
        <f t="shared" si="37"/>
        <v>13219.93</v>
      </c>
      <c r="K523" s="18">
        <f t="shared" si="37"/>
        <v>710</v>
      </c>
      <c r="L523" s="88">
        <f>SUM(F523:K523)</f>
        <v>1571603.5999999999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2137661.79</v>
      </c>
      <c r="G524" s="108">
        <f t="shared" ref="G524:L524" si="38">SUM(G521:G523)</f>
        <v>1199474.1600000001</v>
      </c>
      <c r="H524" s="108">
        <f t="shared" si="38"/>
        <v>773660.46</v>
      </c>
      <c r="I524" s="108">
        <f t="shared" si="38"/>
        <v>8734.59</v>
      </c>
      <c r="J524" s="108">
        <f t="shared" si="38"/>
        <v>15356.12</v>
      </c>
      <c r="K524" s="108">
        <f t="shared" si="38"/>
        <v>1400</v>
      </c>
      <c r="L524" s="89">
        <f t="shared" si="38"/>
        <v>4136287.12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G202</f>
        <v>188645.76000000001</v>
      </c>
      <c r="I526" s="18"/>
      <c r="J526" s="18"/>
      <c r="K526" s="18"/>
      <c r="L526" s="88">
        <f>SUM(F526:K526)</f>
        <v>188645.76000000001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G234</f>
        <v>469750.27</v>
      </c>
      <c r="I528" s="18"/>
      <c r="J528" s="18"/>
      <c r="K528" s="18"/>
      <c r="L528" s="88">
        <f>SUM(F528:K528)</f>
        <v>469750.27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658396.03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658396.03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32699.61</v>
      </c>
      <c r="G531" s="18">
        <v>15068.01</v>
      </c>
      <c r="H531" s="18"/>
      <c r="I531" s="18"/>
      <c r="J531" s="18"/>
      <c r="K531" s="18"/>
      <c r="L531" s="88">
        <f>SUM(F531:K531)</f>
        <v>47767.62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8174.9</v>
      </c>
      <c r="G533" s="18">
        <v>3767.01</v>
      </c>
      <c r="H533" s="18"/>
      <c r="I533" s="18"/>
      <c r="J533" s="18"/>
      <c r="K533" s="18"/>
      <c r="L533" s="88">
        <f>SUM(F533:K533)</f>
        <v>11941.91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40874.51</v>
      </c>
      <c r="G534" s="89">
        <f t="shared" ref="G534:L534" si="40">SUM(G531:G533)</f>
        <v>18835.02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59709.53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150880.62</v>
      </c>
      <c r="I541" s="18"/>
      <c r="J541" s="18"/>
      <c r="K541" s="18"/>
      <c r="L541" s="88">
        <f>SUM(F541:K541)</f>
        <v>150880.62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64251.839999999997</v>
      </c>
      <c r="I543" s="18"/>
      <c r="J543" s="18"/>
      <c r="K543" s="18"/>
      <c r="L543" s="88">
        <f>SUM(F543:K543)</f>
        <v>64251.839999999997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215132.46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215132.46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2178536.2999999998</v>
      </c>
      <c r="G545" s="89">
        <f t="shared" ref="G545:L545" si="43">G524+G529+G534+G539+G544</f>
        <v>1218309.1800000002</v>
      </c>
      <c r="H545" s="89">
        <f t="shared" si="43"/>
        <v>1647188.95</v>
      </c>
      <c r="I545" s="89">
        <f t="shared" si="43"/>
        <v>8734.59</v>
      </c>
      <c r="J545" s="89">
        <f t="shared" si="43"/>
        <v>15356.12</v>
      </c>
      <c r="K545" s="89">
        <f t="shared" si="43"/>
        <v>1400</v>
      </c>
      <c r="L545" s="89">
        <f t="shared" si="43"/>
        <v>5069525.1400000006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2564683.52</v>
      </c>
      <c r="G549" s="87">
        <f>L526</f>
        <v>188645.76000000001</v>
      </c>
      <c r="H549" s="87">
        <f>L531</f>
        <v>47767.62</v>
      </c>
      <c r="I549" s="87">
        <f>L536</f>
        <v>0</v>
      </c>
      <c r="J549" s="87">
        <f>L541</f>
        <v>150880.62</v>
      </c>
      <c r="K549" s="87">
        <f>SUM(F549:J549)</f>
        <v>2951977.5200000005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1571603.5999999999</v>
      </c>
      <c r="G551" s="87">
        <f>L528</f>
        <v>469750.27</v>
      </c>
      <c r="H551" s="87">
        <f>L533</f>
        <v>11941.91</v>
      </c>
      <c r="I551" s="87">
        <f>L538</f>
        <v>0</v>
      </c>
      <c r="J551" s="87">
        <f>L543</f>
        <v>64251.839999999997</v>
      </c>
      <c r="K551" s="87">
        <f>SUM(F551:J551)</f>
        <v>2117547.6199999996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4">SUM(F549:F551)</f>
        <v>4136287.12</v>
      </c>
      <c r="G552" s="89">
        <f t="shared" si="44"/>
        <v>658396.03</v>
      </c>
      <c r="H552" s="89">
        <f t="shared" si="44"/>
        <v>59709.53</v>
      </c>
      <c r="I552" s="89">
        <f t="shared" si="44"/>
        <v>0</v>
      </c>
      <c r="J552" s="89">
        <f t="shared" si="44"/>
        <v>215132.46</v>
      </c>
      <c r="K552" s="89">
        <f t="shared" si="44"/>
        <v>5069525.1400000006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5760</v>
      </c>
      <c r="G562" s="18"/>
      <c r="H562" s="18">
        <v>1317.92</v>
      </c>
      <c r="I562" s="18"/>
      <c r="J562" s="18"/>
      <c r="K562" s="18"/>
      <c r="L562" s="88">
        <f>SUM(F562:K562)</f>
        <v>7077.92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>
        <v>215.12</v>
      </c>
      <c r="I564" s="18"/>
      <c r="J564" s="18"/>
      <c r="K564" s="18"/>
      <c r="L564" s="88">
        <f>SUM(F564:K564)</f>
        <v>215.12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6">SUM(F562:F564)</f>
        <v>5760</v>
      </c>
      <c r="G565" s="89">
        <f t="shared" si="46"/>
        <v>0</v>
      </c>
      <c r="H565" s="89">
        <f t="shared" si="46"/>
        <v>1533.04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7293.04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5760</v>
      </c>
      <c r="G571" s="89">
        <f t="shared" ref="G571:L571" si="48">G560+G565+G570</f>
        <v>0</v>
      </c>
      <c r="H571" s="89">
        <f t="shared" si="48"/>
        <v>1533.04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7293.04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9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387221.32</v>
      </c>
      <c r="G579" s="18"/>
      <c r="H579" s="18">
        <v>91276.49</v>
      </c>
      <c r="I579" s="87">
        <f t="shared" si="49"/>
        <v>478497.81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9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146493.76999999999</v>
      </c>
      <c r="G582" s="18"/>
      <c r="H582" s="18">
        <v>106199.7</v>
      </c>
      <c r="I582" s="87">
        <f t="shared" si="49"/>
        <v>252693.46999999997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36493.019999999997</v>
      </c>
      <c r="I583" s="87">
        <f t="shared" si="49"/>
        <v>36493.019999999997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166904.74</v>
      </c>
      <c r="I584" s="87">
        <f t="shared" si="49"/>
        <v>166904.74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9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381098.23</v>
      </c>
      <c r="I591" s="18"/>
      <c r="J591" s="18"/>
      <c r="K591" s="104">
        <f t="shared" ref="K591:K597" si="50">SUM(H591:J591)</f>
        <v>381098.23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150880.62</v>
      </c>
      <c r="I592" s="18"/>
      <c r="J592" s="18">
        <v>64251.839999999997</v>
      </c>
      <c r="K592" s="104">
        <f t="shared" si="50"/>
        <v>215132.46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74101.72</v>
      </c>
      <c r="K593" s="104">
        <f t="shared" si="50"/>
        <v>74101.72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4281.58</v>
      </c>
      <c r="I594" s="18"/>
      <c r="J594" s="18">
        <v>46075.92</v>
      </c>
      <c r="K594" s="104">
        <f t="shared" si="50"/>
        <v>50357.5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>
        <v>4151.82</v>
      </c>
      <c r="K595" s="104">
        <f t="shared" si="50"/>
        <v>4151.82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536260.42999999993</v>
      </c>
      <c r="I598" s="108">
        <f>SUM(I591:I597)</f>
        <v>0</v>
      </c>
      <c r="J598" s="108">
        <f>SUM(J591:J597)</f>
        <v>188581.3</v>
      </c>
      <c r="K598" s="108">
        <f>SUM(K591:K597)</f>
        <v>724841.72999999986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J211+J338</f>
        <v>127178.65000000001</v>
      </c>
      <c r="I604" s="18"/>
      <c r="J604" s="18">
        <f>J247</f>
        <v>111848.8</v>
      </c>
      <c r="K604" s="104">
        <f>SUM(H604:J604)</f>
        <v>239027.45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127178.65000000001</v>
      </c>
      <c r="I605" s="108">
        <f>SUM(I602:I604)</f>
        <v>0</v>
      </c>
      <c r="J605" s="108">
        <f>SUM(J602:J604)</f>
        <v>111848.8</v>
      </c>
      <c r="K605" s="108">
        <f>SUM(K602:K604)</f>
        <v>239027.45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1">SUM(F611:F613)</f>
        <v>0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1874330.94</v>
      </c>
      <c r="H617" s="109">
        <f>SUM(F52)</f>
        <v>1874330.9400000002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407638.05</v>
      </c>
      <c r="H618" s="109">
        <f>SUM(G52)</f>
        <v>407638.05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104242.29</v>
      </c>
      <c r="H619" s="109">
        <f>SUM(H52)</f>
        <v>104242.29000000001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916103.63000000012</v>
      </c>
      <c r="H621" s="109">
        <f>SUM(J52)</f>
        <v>916103.63000000012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1380236.35</v>
      </c>
      <c r="H622" s="109">
        <f>F476</f>
        <v>1380236.3500000015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212166.97</v>
      </c>
      <c r="H623" s="109">
        <f>G476</f>
        <v>212166.96999999997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7301.06</v>
      </c>
      <c r="H624" s="109">
        <f>H476</f>
        <v>7301.0599999999977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916103.63000000012</v>
      </c>
      <c r="H626" s="109">
        <f>J476</f>
        <v>916103.63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26115332.879999999</v>
      </c>
      <c r="H627" s="104">
        <f>SUM(F468)</f>
        <v>26115332.879999999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647400.68999999994</v>
      </c>
      <c r="H628" s="104">
        <f>SUM(G468)</f>
        <v>647400.68999999994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423538.91</v>
      </c>
      <c r="H629" s="104">
        <f>SUM(H468)</f>
        <v>423538.91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180091.62</v>
      </c>
      <c r="H631" s="104">
        <f>SUM(J468)</f>
        <v>180091.62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24887919.380000003</v>
      </c>
      <c r="H632" s="104">
        <f>SUM(F472)</f>
        <v>24887919.379999999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425638.36</v>
      </c>
      <c r="H633" s="104">
        <f>SUM(H472)</f>
        <v>425638.36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243081.53</v>
      </c>
      <c r="H634" s="104">
        <f>I369</f>
        <v>243081.53000000003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637470.6</v>
      </c>
      <c r="H635" s="104">
        <f>SUM(G472)</f>
        <v>637470.6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180091.62</v>
      </c>
      <c r="H637" s="164">
        <f>SUM(J468)</f>
        <v>180091.62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94342.45</v>
      </c>
      <c r="H638" s="164">
        <f>SUM(J472)</f>
        <v>94342.45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169710.95</v>
      </c>
      <c r="H639" s="104">
        <f>SUM(F461)</f>
        <v>169710.95</v>
      </c>
      <c r="I639" s="140" t="s">
        <v>851</v>
      </c>
      <c r="J639" s="109">
        <f t="shared" si="52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2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746392.68</v>
      </c>
      <c r="H641" s="104">
        <f>SUM(H461)</f>
        <v>746392.68</v>
      </c>
      <c r="I641" s="140" t="s">
        <v>853</v>
      </c>
      <c r="J641" s="109">
        <f t="shared" si="52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916103.63000000012</v>
      </c>
      <c r="H642" s="104">
        <f>SUM(I461)</f>
        <v>916103.63000000012</v>
      </c>
      <c r="I642" s="140" t="s">
        <v>854</v>
      </c>
      <c r="J642" s="109">
        <f t="shared" si="52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2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91.62</v>
      </c>
      <c r="H644" s="104">
        <f>H408</f>
        <v>91.62</v>
      </c>
      <c r="I644" s="140" t="s">
        <v>478</v>
      </c>
      <c r="J644" s="109">
        <f t="shared" si="52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180000</v>
      </c>
      <c r="H645" s="104">
        <f>G408</f>
        <v>180000</v>
      </c>
      <c r="I645" s="140" t="s">
        <v>479</v>
      </c>
      <c r="J645" s="109">
        <f t="shared" si="52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180091.62</v>
      </c>
      <c r="H646" s="104">
        <f>L408</f>
        <v>180091.62</v>
      </c>
      <c r="I646" s="140" t="s">
        <v>475</v>
      </c>
      <c r="J646" s="109">
        <f t="shared" si="52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724841.72999999986</v>
      </c>
      <c r="H647" s="104">
        <f>L208+L226+L244</f>
        <v>724841.73</v>
      </c>
      <c r="I647" s="140" t="s">
        <v>394</v>
      </c>
      <c r="J647" s="109">
        <f t="shared" si="52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239027.45</v>
      </c>
      <c r="H648" s="104">
        <f>(J257+J338)-(J255+J336)</f>
        <v>239027.45</v>
      </c>
      <c r="I648" s="140" t="s">
        <v>697</v>
      </c>
      <c r="J648" s="109">
        <f t="shared" si="52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536260.43000000005</v>
      </c>
      <c r="H649" s="104">
        <f>H598</f>
        <v>536260.42999999993</v>
      </c>
      <c r="I649" s="140" t="s">
        <v>386</v>
      </c>
      <c r="J649" s="109">
        <f t="shared" si="52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2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188581.3</v>
      </c>
      <c r="H651" s="104">
        <f>J598</f>
        <v>188581.3</v>
      </c>
      <c r="I651" s="140" t="s">
        <v>388</v>
      </c>
      <c r="J651" s="109">
        <f t="shared" si="52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6977.45</v>
      </c>
      <c r="H652" s="104">
        <f>K263+K345</f>
        <v>6977.45</v>
      </c>
      <c r="I652" s="140" t="s">
        <v>395</v>
      </c>
      <c r="J652" s="109">
        <f t="shared" si="52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2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2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180000</v>
      </c>
      <c r="H655" s="104">
        <f>K266+K347</f>
        <v>180000</v>
      </c>
      <c r="I655" s="140" t="s">
        <v>398</v>
      </c>
      <c r="J655" s="109">
        <f t="shared" si="52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13257755.670000002</v>
      </c>
      <c r="G660" s="19">
        <f>(L229+L309+L359)</f>
        <v>0</v>
      </c>
      <c r="H660" s="19">
        <f>(L247+L328+L360)</f>
        <v>11494584.49</v>
      </c>
      <c r="I660" s="19">
        <f>SUM(F660:H660)</f>
        <v>24752340.160000004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169948.68300000002</v>
      </c>
      <c r="G661" s="19">
        <f>(L359/IF(SUM(L358:L360)=0,1,SUM(L358:L360))*(SUM(G97:G110)))</f>
        <v>0</v>
      </c>
      <c r="H661" s="19">
        <f>(L360/IF(SUM(L358:L360)=0,1,SUM(L358:L360))*(SUM(G97:G110)))</f>
        <v>207715.05700000003</v>
      </c>
      <c r="I661" s="19">
        <f>SUM(F661:H661)</f>
        <v>377663.74000000005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547013.22000000009</v>
      </c>
      <c r="G662" s="19">
        <f>(L226+L306)-(J226+J306)</f>
        <v>0</v>
      </c>
      <c r="H662" s="19">
        <f>(L244+L325)-(J244+J325)</f>
        <v>191218.19</v>
      </c>
      <c r="I662" s="19">
        <f>SUM(F662:H662)</f>
        <v>738231.41000000015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660893.74</v>
      </c>
      <c r="G663" s="199">
        <f>SUM(G575:G587)+SUM(I602:I604)+L612</f>
        <v>0</v>
      </c>
      <c r="H663" s="199">
        <f>SUM(H575:H587)+SUM(J602:J604)+L613</f>
        <v>512722.74999999994</v>
      </c>
      <c r="I663" s="19">
        <f>SUM(F663:H663)</f>
        <v>1173616.49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11879900.027000003</v>
      </c>
      <c r="G664" s="19">
        <f>G660-SUM(G661:G663)</f>
        <v>0</v>
      </c>
      <c r="H664" s="19">
        <f>H660-SUM(H661:H663)</f>
        <v>10582928.493000001</v>
      </c>
      <c r="I664" s="19">
        <f>I660-SUM(I661:I663)</f>
        <v>22462828.520000003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701.6</v>
      </c>
      <c r="G665" s="248"/>
      <c r="H665" s="248">
        <v>770.27</v>
      </c>
      <c r="I665" s="19">
        <f>SUM(F665:H665)</f>
        <v>1471.87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16932.580000000002</v>
      </c>
      <c r="G667" s="19" t="e">
        <f>ROUND(G664/G665,2)</f>
        <v>#DIV/0!</v>
      </c>
      <c r="H667" s="19">
        <f>ROUND(H664/H665,2)</f>
        <v>13739.25</v>
      </c>
      <c r="I667" s="19">
        <f>ROUND(I664/I665,2)</f>
        <v>15261.42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-22.22</v>
      </c>
      <c r="I670" s="19">
        <f>SUM(F670:H670)</f>
        <v>-22.22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16932.580000000002</v>
      </c>
      <c r="G672" s="19" t="e">
        <f>ROUND((G664+G669)/(G665+G670),2)</f>
        <v>#DIV/0!</v>
      </c>
      <c r="H672" s="19">
        <f>ROUND((H664+H669)/(H665+H670),2)</f>
        <v>14147.35</v>
      </c>
      <c r="I672" s="19">
        <f>ROUND((I664+I669)/(I665+I670),2)</f>
        <v>15495.35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I23" sqref="I2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PEMBROKE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6552967.3999999994</v>
      </c>
      <c r="C9" s="229">
        <f>'DOE25'!G197+'DOE25'!G215+'DOE25'!G233+'DOE25'!G276+'DOE25'!G295+'DOE25'!G314</f>
        <v>3572091.1499999994</v>
      </c>
    </row>
    <row r="10" spans="1:3" x14ac:dyDescent="0.2">
      <c r="A10" t="s">
        <v>773</v>
      </c>
      <c r="B10" s="240">
        <v>6246906.4500000002</v>
      </c>
      <c r="C10" s="240">
        <v>3405254.12</v>
      </c>
    </row>
    <row r="11" spans="1:3" x14ac:dyDescent="0.2">
      <c r="A11" t="s">
        <v>774</v>
      </c>
      <c r="B11" s="240">
        <v>120400.65000000001</v>
      </c>
      <c r="C11" s="240">
        <v>65631.66</v>
      </c>
    </row>
    <row r="12" spans="1:3" x14ac:dyDescent="0.2">
      <c r="A12" t="s">
        <v>775</v>
      </c>
      <c r="B12" s="240">
        <v>185660.3</v>
      </c>
      <c r="C12" s="240">
        <v>101205.37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6552967.4000000004</v>
      </c>
      <c r="C13" s="231">
        <f>SUM(C10:C12)</f>
        <v>3572091.1500000004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2138061.79</v>
      </c>
      <c r="C18" s="229">
        <f>'DOE25'!G198+'DOE25'!G216+'DOE25'!G234+'DOE25'!G277+'DOE25'!G296+'DOE25'!G315</f>
        <v>1199504.06</v>
      </c>
    </row>
    <row r="19" spans="1:3" x14ac:dyDescent="0.2">
      <c r="A19" t="s">
        <v>773</v>
      </c>
      <c r="B19" s="240">
        <v>1292631.8700000001</v>
      </c>
      <c r="C19" s="240">
        <v>725197.55</v>
      </c>
    </row>
    <row r="20" spans="1:3" x14ac:dyDescent="0.2">
      <c r="A20" t="s">
        <v>774</v>
      </c>
      <c r="B20" s="240">
        <v>676067.64</v>
      </c>
      <c r="C20" s="240">
        <v>379290.2</v>
      </c>
    </row>
    <row r="21" spans="1:3" x14ac:dyDescent="0.2">
      <c r="A21" t="s">
        <v>775</v>
      </c>
      <c r="B21" s="240">
        <v>169362.28</v>
      </c>
      <c r="C21" s="240">
        <v>95016.31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2138061.79</v>
      </c>
      <c r="C22" s="231">
        <f>SUM(C19:C21)</f>
        <v>1199504.06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418297</v>
      </c>
      <c r="C27" s="234">
        <f>'DOE25'!G199+'DOE25'!G217+'DOE25'!G235+'DOE25'!G278+'DOE25'!G297+'DOE25'!G316</f>
        <v>233023.7</v>
      </c>
    </row>
    <row r="28" spans="1:3" x14ac:dyDescent="0.2">
      <c r="A28" t="s">
        <v>773</v>
      </c>
      <c r="B28" s="240">
        <v>394964</v>
      </c>
      <c r="C28" s="240">
        <v>220025.42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23333</v>
      </c>
      <c r="C30" s="240">
        <v>12998.28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418297</v>
      </c>
      <c r="C31" s="231">
        <f>SUM(C28:C30)</f>
        <v>233023.7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295912</v>
      </c>
      <c r="C36" s="235">
        <f>'DOE25'!G200+'DOE25'!G218+'DOE25'!G236+'DOE25'!G279+'DOE25'!G298+'DOE25'!G317</f>
        <v>164906.34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295912</v>
      </c>
      <c r="C39" s="240">
        <v>164906.34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295912</v>
      </c>
      <c r="C40" s="231">
        <f>SUM(C37:C39)</f>
        <v>164906.34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I23" sqref="I23"/>
      <selection pane="bottomLeft" activeCell="I23" sqref="I2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PEMBROKE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15832464.359999999</v>
      </c>
      <c r="D5" s="20">
        <f>SUM('DOE25'!L197:L200)+SUM('DOE25'!L215:L218)+SUM('DOE25'!L233:L236)-F5-G5</f>
        <v>15589359.879999999</v>
      </c>
      <c r="E5" s="243"/>
      <c r="F5" s="255">
        <f>SUM('DOE25'!J197:J200)+SUM('DOE25'!J215:J218)+SUM('DOE25'!J233:J236)</f>
        <v>195913.72000000003</v>
      </c>
      <c r="G5" s="53">
        <f>SUM('DOE25'!K197:K200)+SUM('DOE25'!K215:K218)+SUM('DOE25'!K233:K236)</f>
        <v>47190.76</v>
      </c>
      <c r="H5" s="259"/>
    </row>
    <row r="6" spans="1:9" x14ac:dyDescent="0.2">
      <c r="A6" s="32">
        <v>2100</v>
      </c>
      <c r="B6" t="s">
        <v>795</v>
      </c>
      <c r="C6" s="245">
        <f t="shared" si="0"/>
        <v>1906323.7999999998</v>
      </c>
      <c r="D6" s="20">
        <f>'DOE25'!L202+'DOE25'!L220+'DOE25'!L238-F6-G6</f>
        <v>1904368.7999999998</v>
      </c>
      <c r="E6" s="243"/>
      <c r="F6" s="255">
        <f>'DOE25'!J202+'DOE25'!J220+'DOE25'!J238</f>
        <v>0</v>
      </c>
      <c r="G6" s="53">
        <f>'DOE25'!K202+'DOE25'!K220+'DOE25'!K238</f>
        <v>1955</v>
      </c>
      <c r="H6" s="259"/>
    </row>
    <row r="7" spans="1:9" x14ac:dyDescent="0.2">
      <c r="A7" s="32">
        <v>2200</v>
      </c>
      <c r="B7" t="s">
        <v>828</v>
      </c>
      <c r="C7" s="245">
        <f t="shared" si="0"/>
        <v>486045.05999999994</v>
      </c>
      <c r="D7" s="20">
        <f>'DOE25'!L203+'DOE25'!L221+'DOE25'!L239-F7-G7</f>
        <v>485581.33999999997</v>
      </c>
      <c r="E7" s="243"/>
      <c r="F7" s="255">
        <f>'DOE25'!J203+'DOE25'!J221+'DOE25'!J239</f>
        <v>463.72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563842.24000000011</v>
      </c>
      <c r="D8" s="243"/>
      <c r="E8" s="20">
        <f>'DOE25'!L204+'DOE25'!L222+'DOE25'!L240-F8-G8-D9-D11</f>
        <v>552876.80000000016</v>
      </c>
      <c r="F8" s="255">
        <f>'DOE25'!J204+'DOE25'!J222+'DOE25'!J240</f>
        <v>0</v>
      </c>
      <c r="G8" s="53">
        <f>'DOE25'!K204+'DOE25'!K222+'DOE25'!K240</f>
        <v>10965.439999999999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18113.82</v>
      </c>
      <c r="D9" s="244">
        <v>18113.82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11894</v>
      </c>
      <c r="D10" s="243"/>
      <c r="E10" s="244">
        <v>11894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165572</v>
      </c>
      <c r="D11" s="244">
        <v>165572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2136315.94</v>
      </c>
      <c r="D12" s="20">
        <f>'DOE25'!L205+'DOE25'!L223+'DOE25'!L241-F12-G12</f>
        <v>2116278.73</v>
      </c>
      <c r="E12" s="243"/>
      <c r="F12" s="255">
        <f>'DOE25'!J205+'DOE25'!J223+'DOE25'!J241</f>
        <v>799.92</v>
      </c>
      <c r="G12" s="53">
        <f>'DOE25'!K205+'DOE25'!K223+'DOE25'!K241</f>
        <v>19237.29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1883762.0599999998</v>
      </c>
      <c r="D14" s="20">
        <f>'DOE25'!L207+'DOE25'!L225+'DOE25'!L243-F14-G14</f>
        <v>1864634.7499999998</v>
      </c>
      <c r="E14" s="243"/>
      <c r="F14" s="255">
        <f>'DOE25'!J207+'DOE25'!J225+'DOE25'!J243</f>
        <v>19127.310000000001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724841.73</v>
      </c>
      <c r="D15" s="20">
        <f>'DOE25'!L208+'DOE25'!L226+'DOE25'!L244-F15-G15</f>
        <v>724841.73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888336</v>
      </c>
      <c r="D22" s="243"/>
      <c r="E22" s="243"/>
      <c r="F22" s="255">
        <f>'DOE25'!L255+'DOE25'!L336</f>
        <v>888336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58950</v>
      </c>
      <c r="D25" s="243"/>
      <c r="E25" s="243"/>
      <c r="F25" s="258"/>
      <c r="G25" s="256"/>
      <c r="H25" s="257">
        <f>'DOE25'!L260+'DOE25'!L261+'DOE25'!L341+'DOE25'!L342</f>
        <v>58950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411639.75999999995</v>
      </c>
      <c r="D29" s="20">
        <f>'DOE25'!L358+'DOE25'!L359+'DOE25'!L360-'DOE25'!I367-F29-G29</f>
        <v>404806.48999999993</v>
      </c>
      <c r="E29" s="243"/>
      <c r="F29" s="255">
        <f>'DOE25'!J358+'DOE25'!J359+'DOE25'!J360</f>
        <v>6233.27</v>
      </c>
      <c r="G29" s="53">
        <f>'DOE25'!K358+'DOE25'!K359+'DOE25'!K360</f>
        <v>600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425638.35999999993</v>
      </c>
      <c r="D31" s="20">
        <f>'DOE25'!L290+'DOE25'!L309+'DOE25'!L328+'DOE25'!L333+'DOE25'!L334+'DOE25'!L335-F31-G31</f>
        <v>394237.02999999997</v>
      </c>
      <c r="E31" s="243"/>
      <c r="F31" s="255">
        <f>'DOE25'!J290+'DOE25'!J309+'DOE25'!J328+'DOE25'!J333+'DOE25'!J334+'DOE25'!J335</f>
        <v>22722.78</v>
      </c>
      <c r="G31" s="53">
        <f>'DOE25'!K290+'DOE25'!K309+'DOE25'!K328+'DOE25'!K333+'DOE25'!K334+'DOE25'!K335</f>
        <v>8678.5499999999993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23667794.57</v>
      </c>
      <c r="E33" s="246">
        <f>SUM(E5:E31)</f>
        <v>564770.80000000016</v>
      </c>
      <c r="F33" s="246">
        <f>SUM(F5:F31)</f>
        <v>1133596.72</v>
      </c>
      <c r="G33" s="246">
        <f>SUM(G5:G31)</f>
        <v>88627.04</v>
      </c>
      <c r="H33" s="246">
        <f>SUM(H5:H31)</f>
        <v>58950</v>
      </c>
    </row>
    <row r="35" spans="2:8" ht="12" thickBot="1" x14ac:dyDescent="0.25">
      <c r="B35" s="253" t="s">
        <v>841</v>
      </c>
      <c r="D35" s="254">
        <f>E33</f>
        <v>564770.80000000016</v>
      </c>
      <c r="E35" s="249"/>
    </row>
    <row r="36" spans="2:8" ht="12" thickTop="1" x14ac:dyDescent="0.2">
      <c r="B36" t="s">
        <v>809</v>
      </c>
      <c r="D36" s="20">
        <f>D33</f>
        <v>23667794.57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topLeftCell="B1" zoomScale="80" zoomScaleNormal="80" workbookViewId="0">
      <pane ySplit="2" topLeftCell="A1584" activePane="bottomLeft" state="frozen"/>
      <selection activeCell="I23" sqref="I23"/>
      <selection pane="bottomLeft" activeCell="I23" sqref="I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PEMBROKE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1508413.01</v>
      </c>
      <c r="D8" s="95">
        <f>'DOE25'!G9</f>
        <v>369920.57</v>
      </c>
      <c r="E8" s="95">
        <f>'DOE25'!H9</f>
        <v>0</v>
      </c>
      <c r="F8" s="95">
        <f>'DOE25'!I9</f>
        <v>0</v>
      </c>
      <c r="G8" s="95">
        <f>'DOE25'!J9</f>
        <v>916103.63000000012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13159.13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96941.23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365917.93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24558.35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 t="str">
        <f>'DOE25'!F18</f>
        <v xml:space="preserve">  </v>
      </c>
      <c r="D17" s="95">
        <f>'DOE25'!G18</f>
        <v>0</v>
      </c>
      <c r="E17" s="95">
        <f>'DOE25'!H18</f>
        <v>7301.06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1874330.94</v>
      </c>
      <c r="D18" s="41">
        <f>SUM(D8:D17)</f>
        <v>407638.05</v>
      </c>
      <c r="E18" s="41">
        <f>SUM(E8:E17)</f>
        <v>104242.29</v>
      </c>
      <c r="F18" s="41">
        <f>SUM(F8:F17)</f>
        <v>0</v>
      </c>
      <c r="G18" s="41">
        <f>SUM(G8:G17)</f>
        <v>916103.63000000012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-276686.3</v>
      </c>
      <c r="D21" s="95">
        <f>'DOE25'!G22</f>
        <v>192141.65</v>
      </c>
      <c r="E21" s="95">
        <f>'DOE25'!H22</f>
        <v>91845.71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733444.68</v>
      </c>
      <c r="D22" s="95">
        <f>'DOE25'!G23</f>
        <v>3329.43</v>
      </c>
      <c r="E22" s="95">
        <f>'DOE25'!H23</f>
        <v>5095.5200000000004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25325.84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12010.37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494094.59000000008</v>
      </c>
      <c r="D31" s="41">
        <f>SUM(D21:D30)</f>
        <v>195471.08</v>
      </c>
      <c r="E31" s="41">
        <f>SUM(E21:E30)</f>
        <v>96941.23000000001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212166.97</v>
      </c>
      <c r="E47" s="95">
        <f>'DOE25'!H48</f>
        <v>7301.06</v>
      </c>
      <c r="F47" s="95">
        <f>'DOE25'!I48</f>
        <v>0</v>
      </c>
      <c r="G47" s="95">
        <f>'DOE25'!J48</f>
        <v>916103.63000000012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1380236.35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1380236.35</v>
      </c>
      <c r="D50" s="41">
        <f>SUM(D34:D49)</f>
        <v>212166.97</v>
      </c>
      <c r="E50" s="41">
        <f>SUM(E34:E49)</f>
        <v>7301.06</v>
      </c>
      <c r="F50" s="41">
        <f>SUM(F34:F49)</f>
        <v>0</v>
      </c>
      <c r="G50" s="41">
        <f>SUM(G34:G49)</f>
        <v>916103.63000000012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1874330.9400000002</v>
      </c>
      <c r="D51" s="41">
        <f>D50+D31</f>
        <v>407638.05</v>
      </c>
      <c r="E51" s="41">
        <f>E50+E31</f>
        <v>104242.29000000001</v>
      </c>
      <c r="F51" s="41">
        <f>F50+F31</f>
        <v>0</v>
      </c>
      <c r="G51" s="41">
        <f>G50+G31</f>
        <v>916103.63000000012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11767470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6384104.1899999995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7400.35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5124.05</v>
      </c>
      <c r="D59" s="95">
        <f>'DOE25'!G96</f>
        <v>96.88</v>
      </c>
      <c r="E59" s="95">
        <f>'DOE25'!H96</f>
        <v>0</v>
      </c>
      <c r="F59" s="95">
        <f>'DOE25'!I96</f>
        <v>0</v>
      </c>
      <c r="G59" s="95">
        <f>'DOE25'!J96</f>
        <v>91.62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359507.59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308250.42</v>
      </c>
      <c r="D61" s="95">
        <f>SUM('DOE25'!G98:G110)</f>
        <v>18156.150000000001</v>
      </c>
      <c r="E61" s="95">
        <f>SUM('DOE25'!H98:H110)</f>
        <v>1299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6704879.0099999988</v>
      </c>
      <c r="D62" s="130">
        <f>SUM(D57:D61)</f>
        <v>377760.62000000005</v>
      </c>
      <c r="E62" s="130">
        <f>SUM(E57:E61)</f>
        <v>1299</v>
      </c>
      <c r="F62" s="130">
        <f>SUM(F57:F61)</f>
        <v>0</v>
      </c>
      <c r="G62" s="130">
        <f>SUM(G57:G61)</f>
        <v>91.62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18472349.009999998</v>
      </c>
      <c r="D63" s="22">
        <f>D56+D62</f>
        <v>377760.62000000005</v>
      </c>
      <c r="E63" s="22">
        <f>E56+E62</f>
        <v>1299</v>
      </c>
      <c r="F63" s="22">
        <f>F56+F62</f>
        <v>0</v>
      </c>
      <c r="G63" s="22">
        <f>G56+G62</f>
        <v>91.62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5302873.5199999996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1363902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16029.07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6682804.5899999999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239356.49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11587.46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7153.2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8908.98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258097.15</v>
      </c>
      <c r="D78" s="130">
        <f>SUM(D72:D77)</f>
        <v>8908.98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6940901.7400000002</v>
      </c>
      <c r="D81" s="130">
        <f>SUM(D79:D80)+D78+D70</f>
        <v>8908.98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482082.13</v>
      </c>
      <c r="D88" s="95">
        <f>SUM('DOE25'!G153:G161)</f>
        <v>253753.64</v>
      </c>
      <c r="E88" s="95">
        <f>SUM('DOE25'!H153:H161)</f>
        <v>422239.91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482082.13</v>
      </c>
      <c r="D91" s="131">
        <f>SUM(D85:D90)</f>
        <v>253753.64</v>
      </c>
      <c r="E91" s="131">
        <f>SUM(E85:E90)</f>
        <v>422239.91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6977.45</v>
      </c>
      <c r="E96" s="95">
        <f>'DOE25'!H179</f>
        <v>0</v>
      </c>
      <c r="F96" s="95">
        <f>'DOE25'!I179</f>
        <v>0</v>
      </c>
      <c r="G96" s="95">
        <f>'DOE25'!J179</f>
        <v>180000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120000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100000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220000</v>
      </c>
      <c r="D103" s="86">
        <f>SUM(D93:D102)</f>
        <v>6977.45</v>
      </c>
      <c r="E103" s="86">
        <f>SUM(E93:E102)</f>
        <v>0</v>
      </c>
      <c r="F103" s="86">
        <f>SUM(F93:F102)</f>
        <v>0</v>
      </c>
      <c r="G103" s="86">
        <f>SUM(G93:G102)</f>
        <v>180000</v>
      </c>
    </row>
    <row r="104" spans="1:7" ht="12.75" thickTop="1" thickBot="1" x14ac:dyDescent="0.25">
      <c r="A104" s="33" t="s">
        <v>759</v>
      </c>
      <c r="C104" s="86">
        <f>C63+C81+C91+C103</f>
        <v>26115332.879999999</v>
      </c>
      <c r="D104" s="86">
        <f>D63+D81+D91+D103</f>
        <v>647400.68999999994</v>
      </c>
      <c r="E104" s="86">
        <f>E63+E81+E91+E103</f>
        <v>423538.91</v>
      </c>
      <c r="F104" s="86">
        <f>F63+F81+F91+F103</f>
        <v>0</v>
      </c>
      <c r="G104" s="86">
        <f>G63+G81+G103</f>
        <v>180091.62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10260442.440000001</v>
      </c>
      <c r="D109" s="24" t="s">
        <v>286</v>
      </c>
      <c r="E109" s="95">
        <f>('DOE25'!L276)+('DOE25'!L295)+('DOE25'!L314)</f>
        <v>326410.43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4136287.12</v>
      </c>
      <c r="D110" s="24" t="s">
        <v>286</v>
      </c>
      <c r="E110" s="95">
        <f>('DOE25'!L277)+('DOE25'!L296)+('DOE25'!L315)</f>
        <v>2701.4100000000003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836658.6399999999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599076.16</v>
      </c>
      <c r="D112" s="24" t="s">
        <v>286</v>
      </c>
      <c r="E112" s="95">
        <f>+('DOE25'!L279)+('DOE25'!L298)+('DOE25'!L317)</f>
        <v>6312.85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28049.81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15832464.360000003</v>
      </c>
      <c r="D115" s="86">
        <f>SUM(D109:D114)</f>
        <v>0</v>
      </c>
      <c r="E115" s="86">
        <f>SUM(E109:E114)</f>
        <v>363474.49999999994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1906323.7999999998</v>
      </c>
      <c r="D118" s="24" t="s">
        <v>286</v>
      </c>
      <c r="E118" s="95">
        <f>+('DOE25'!L281)+('DOE25'!L300)+('DOE25'!L319)</f>
        <v>18886.48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486045.05999999994</v>
      </c>
      <c r="D119" s="24" t="s">
        <v>286</v>
      </c>
      <c r="E119" s="95">
        <f>+('DOE25'!L282)+('DOE25'!L301)+('DOE25'!L320)</f>
        <v>21714.2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747528.06</v>
      </c>
      <c r="D120" s="24" t="s">
        <v>286</v>
      </c>
      <c r="E120" s="95">
        <f>+('DOE25'!L283)+('DOE25'!L302)+('DOE25'!L321)</f>
        <v>8173.5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2136315.94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1883762.0599999998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724841.73</v>
      </c>
      <c r="D124" s="24" t="s">
        <v>286</v>
      </c>
      <c r="E124" s="95">
        <f>+('DOE25'!L287)+('DOE25'!L306)+('DOE25'!L325)</f>
        <v>13389.68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637470.6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7884816.6499999985</v>
      </c>
      <c r="D128" s="86">
        <f>SUM(D118:D127)</f>
        <v>637470.6</v>
      </c>
      <c r="E128" s="86">
        <f>SUM(E118:E127)</f>
        <v>62163.86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888336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13950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94342.45</v>
      </c>
    </row>
    <row r="135" spans="1:7" x14ac:dyDescent="0.2">
      <c r="A135" t="s">
        <v>233</v>
      </c>
      <c r="B135" s="32" t="s">
        <v>234</v>
      </c>
      <c r="C135" s="95">
        <f>'DOE25'!L263</f>
        <v>6977.45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100020.43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80071.19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-91.619999999995343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36374.92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1170638.3699999996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94342.45</v>
      </c>
    </row>
    <row r="145" spans="1:9" ht="12.75" thickTop="1" thickBot="1" x14ac:dyDescent="0.25">
      <c r="A145" s="33" t="s">
        <v>244</v>
      </c>
      <c r="C145" s="86">
        <f>(C115+C128+C144)</f>
        <v>24887919.380000003</v>
      </c>
      <c r="D145" s="86">
        <f>(D115+D128+D144)</f>
        <v>637470.6</v>
      </c>
      <c r="E145" s="86">
        <f>(E115+E128+E144)</f>
        <v>425638.35999999993</v>
      </c>
      <c r="F145" s="86">
        <f>(F115+F128+F144)</f>
        <v>0</v>
      </c>
      <c r="G145" s="86">
        <f>(G115+G128+G144)</f>
        <v>94342.45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5" workbookViewId="0">
      <selection activeCell="I23" sqref="I23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PEMBROKE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16933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14147</v>
      </c>
    </row>
    <row r="7" spans="1:4" x14ac:dyDescent="0.2">
      <c r="B7" t="s">
        <v>699</v>
      </c>
      <c r="C7" s="179">
        <f>IF('DOE25'!I665+'DOE25'!I670=0,0,ROUND('DOE25'!I672,0))</f>
        <v>15495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10586853</v>
      </c>
      <c r="D10" s="182">
        <f>ROUND((C10/$C$28)*100,1)</f>
        <v>43.3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4138989</v>
      </c>
      <c r="D11" s="182">
        <f>ROUND((C11/$C$28)*100,1)</f>
        <v>16.899999999999999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836659</v>
      </c>
      <c r="D12" s="182">
        <f>ROUND((C12/$C$28)*100,1)</f>
        <v>3.4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605389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1925210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507759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755702</v>
      </c>
      <c r="D17" s="182">
        <f t="shared" si="0"/>
        <v>3.1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2136316</v>
      </c>
      <c r="D18" s="182">
        <f t="shared" si="0"/>
        <v>8.6999999999999993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1883762</v>
      </c>
      <c r="D20" s="182">
        <f t="shared" si="0"/>
        <v>7.7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738231</v>
      </c>
      <c r="D21" s="182">
        <f t="shared" si="0"/>
        <v>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28050</v>
      </c>
      <c r="D24" s="182">
        <f t="shared" si="0"/>
        <v>0.1</v>
      </c>
    </row>
    <row r="25" spans="1:4" x14ac:dyDescent="0.2">
      <c r="A25">
        <v>5120</v>
      </c>
      <c r="B25" t="s">
        <v>714</v>
      </c>
      <c r="C25" s="179">
        <f>ROUND('DOE25'!L261+'DOE25'!L342,0)</f>
        <v>13950</v>
      </c>
      <c r="D25" s="182">
        <f t="shared" si="0"/>
        <v>0.1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36374.92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259807.25999999995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24453052.180000003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888336</v>
      </c>
    </row>
    <row r="30" spans="1:4" x14ac:dyDescent="0.2">
      <c r="B30" s="187" t="s">
        <v>723</v>
      </c>
      <c r="C30" s="180">
        <f>SUM(C28:C29)</f>
        <v>25341388.180000003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11767470</v>
      </c>
      <c r="D35" s="182">
        <f t="shared" ref="D35:D40" si="1">ROUND((C35/$C$41)*100,1)</f>
        <v>44.3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6706366.5100000016</v>
      </c>
      <c r="D36" s="182">
        <f t="shared" si="1"/>
        <v>25.2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6666776</v>
      </c>
      <c r="D37" s="182">
        <f t="shared" si="1"/>
        <v>25.1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283035</v>
      </c>
      <c r="D38" s="182">
        <f t="shared" si="1"/>
        <v>1.1000000000000001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1158076</v>
      </c>
      <c r="D39" s="182">
        <f t="shared" si="1"/>
        <v>4.4000000000000004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26581723.510000002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I23" sqref="I23"/>
      <selection pane="bottomLeft" activeCell="I23" sqref="I2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PEMBROKE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2018-09-25T11:45:21Z</cp:lastPrinted>
  <dcterms:created xsi:type="dcterms:W3CDTF">1997-12-04T19:04:30Z</dcterms:created>
  <dcterms:modified xsi:type="dcterms:W3CDTF">2018-12-03T19:51:04Z</dcterms:modified>
</cp:coreProperties>
</file>