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0490" windowHeight="765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E8" i="13" s="1"/>
  <c r="C8" i="13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D12" i="13" s="1"/>
  <c r="C12" i="13" s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E120" i="2" s="1"/>
  <c r="L322" i="1"/>
  <c r="L323" i="1"/>
  <c r="L324" i="1"/>
  <c r="L325" i="1"/>
  <c r="E124" i="2" s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F169" i="1" s="1"/>
  <c r="G147" i="1"/>
  <c r="G162" i="1"/>
  <c r="H147" i="1"/>
  <c r="H162" i="1"/>
  <c r="I147" i="1"/>
  <c r="I162" i="1"/>
  <c r="C11" i="10"/>
  <c r="C16" i="10"/>
  <c r="L250" i="1"/>
  <c r="L332" i="1"/>
  <c r="L254" i="1"/>
  <c r="L268" i="1"/>
  <c r="L269" i="1"/>
  <c r="C143" i="2" s="1"/>
  <c r="L349" i="1"/>
  <c r="C26" i="10" s="1"/>
  <c r="L350" i="1"/>
  <c r="I665" i="1"/>
  <c r="I670" i="1"/>
  <c r="G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L527" i="1"/>
  <c r="G550" i="1" s="1"/>
  <c r="L528" i="1"/>
  <c r="G551" i="1" s="1"/>
  <c r="L531" i="1"/>
  <c r="H549" i="1" s="1"/>
  <c r="L532" i="1"/>
  <c r="H550" i="1" s="1"/>
  <c r="K550" i="1" s="1"/>
  <c r="L533" i="1"/>
  <c r="H551" i="1" s="1"/>
  <c r="L536" i="1"/>
  <c r="I549" i="1" s="1"/>
  <c r="L537" i="1"/>
  <c r="I550" i="1" s="1"/>
  <c r="L538" i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C113" i="2"/>
  <c r="E113" i="2"/>
  <c r="D115" i="2"/>
  <c r="F115" i="2"/>
  <c r="G115" i="2"/>
  <c r="C119" i="2"/>
  <c r="E119" i="2"/>
  <c r="C121" i="2"/>
  <c r="E123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G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I257" i="1" s="1"/>
  <c r="J247" i="1"/>
  <c r="K247" i="1"/>
  <c r="F256" i="1"/>
  <c r="G256" i="1"/>
  <c r="L256" i="1" s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J617" i="1" s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G640" i="1"/>
  <c r="H640" i="1"/>
  <c r="G641" i="1"/>
  <c r="H641" i="1"/>
  <c r="G643" i="1"/>
  <c r="J643" i="1" s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F192" i="1"/>
  <c r="G257" i="1"/>
  <c r="G271" i="1" s="1"/>
  <c r="D62" i="2"/>
  <c r="D63" i="2" s="1"/>
  <c r="D18" i="2"/>
  <c r="D50" i="2"/>
  <c r="G156" i="2"/>
  <c r="D91" i="2"/>
  <c r="G62" i="2"/>
  <c r="D19" i="13"/>
  <c r="C19" i="13" s="1"/>
  <c r="E78" i="2"/>
  <c r="E81" i="2" s="1"/>
  <c r="K605" i="1"/>
  <c r="G648" i="1" s="1"/>
  <c r="J571" i="1"/>
  <c r="D81" i="2"/>
  <c r="I169" i="1"/>
  <c r="J476" i="1"/>
  <c r="H626" i="1" s="1"/>
  <c r="F476" i="1"/>
  <c r="H622" i="1" s="1"/>
  <c r="J622" i="1" s="1"/>
  <c r="G338" i="1"/>
  <c r="G352" i="1" s="1"/>
  <c r="J140" i="1"/>
  <c r="G22" i="2"/>
  <c r="J552" i="1"/>
  <c r="H552" i="1"/>
  <c r="H140" i="1"/>
  <c r="J640" i="1"/>
  <c r="F338" i="1"/>
  <c r="F352" i="1" s="1"/>
  <c r="H192" i="1"/>
  <c r="F552" i="1"/>
  <c r="E16" i="13"/>
  <c r="C16" i="13" s="1"/>
  <c r="L570" i="1"/>
  <c r="I571" i="1"/>
  <c r="G36" i="2"/>
  <c r="L565" i="1"/>
  <c r="H545" i="1"/>
  <c r="A40" i="12" l="1"/>
  <c r="A31" i="12"/>
  <c r="G545" i="1"/>
  <c r="I545" i="1"/>
  <c r="I476" i="1"/>
  <c r="H625" i="1" s="1"/>
  <c r="H476" i="1"/>
  <c r="H624" i="1" s="1"/>
  <c r="G476" i="1"/>
  <c r="H623" i="1" s="1"/>
  <c r="L401" i="1"/>
  <c r="C139" i="2" s="1"/>
  <c r="E125" i="2"/>
  <c r="E121" i="2"/>
  <c r="H338" i="1"/>
  <c r="H352" i="1" s="1"/>
  <c r="L328" i="1"/>
  <c r="E112" i="2"/>
  <c r="C91" i="2"/>
  <c r="F78" i="2"/>
  <c r="F81" i="2" s="1"/>
  <c r="C70" i="2"/>
  <c r="J644" i="1"/>
  <c r="J624" i="1"/>
  <c r="J623" i="1"/>
  <c r="E31" i="2"/>
  <c r="K257" i="1"/>
  <c r="K271" i="1" s="1"/>
  <c r="C20" i="10"/>
  <c r="D7" i="13"/>
  <c r="C7" i="13" s="1"/>
  <c r="D5" i="13"/>
  <c r="C5" i="13" s="1"/>
  <c r="E57" i="2"/>
  <c r="E62" i="2" s="1"/>
  <c r="E63" i="2" s="1"/>
  <c r="H112" i="1"/>
  <c r="C35" i="10"/>
  <c r="C56" i="2"/>
  <c r="E118" i="2"/>
  <c r="L290" i="1"/>
  <c r="C10" i="10"/>
  <c r="E109" i="2"/>
  <c r="H661" i="1"/>
  <c r="D29" i="13"/>
  <c r="C29" i="13" s="1"/>
  <c r="F661" i="1"/>
  <c r="I661" i="1" s="1"/>
  <c r="C122" i="2"/>
  <c r="E13" i="13"/>
  <c r="C13" i="13" s="1"/>
  <c r="C19" i="10"/>
  <c r="H25" i="13"/>
  <c r="J645" i="1"/>
  <c r="H169" i="1"/>
  <c r="L393" i="1"/>
  <c r="C138" i="2" s="1"/>
  <c r="D127" i="2"/>
  <c r="D128" i="2" s="1"/>
  <c r="D145" i="2" s="1"/>
  <c r="C18" i="10"/>
  <c r="L229" i="1"/>
  <c r="G660" i="1" s="1"/>
  <c r="G664" i="1" s="1"/>
  <c r="F112" i="1"/>
  <c r="J641" i="1"/>
  <c r="F571" i="1"/>
  <c r="L560" i="1"/>
  <c r="E142" i="2"/>
  <c r="C132" i="2"/>
  <c r="I551" i="1"/>
  <c r="K551" i="1" s="1"/>
  <c r="L539" i="1"/>
  <c r="G549" i="1"/>
  <c r="L529" i="1"/>
  <c r="E134" i="2"/>
  <c r="L351" i="1"/>
  <c r="F130" i="2"/>
  <c r="F144" i="2" s="1"/>
  <c r="F145" i="2" s="1"/>
  <c r="E33" i="13"/>
  <c r="D35" i="13" s="1"/>
  <c r="H663" i="1"/>
  <c r="L614" i="1"/>
  <c r="F22" i="13"/>
  <c r="C22" i="13" s="1"/>
  <c r="E130" i="2"/>
  <c r="E144" i="2" s="1"/>
  <c r="E122" i="2"/>
  <c r="C21" i="10"/>
  <c r="H647" i="1"/>
  <c r="F662" i="1"/>
  <c r="I662" i="1" s="1"/>
  <c r="C124" i="2"/>
  <c r="G649" i="1"/>
  <c r="J649" i="1" s="1"/>
  <c r="D15" i="13"/>
  <c r="C15" i="13" s="1"/>
  <c r="C118" i="2"/>
  <c r="D6" i="13"/>
  <c r="C6" i="13" s="1"/>
  <c r="C15" i="10"/>
  <c r="C12" i="10"/>
  <c r="C111" i="2"/>
  <c r="C115" i="2" s="1"/>
  <c r="J545" i="1"/>
  <c r="L427" i="1"/>
  <c r="E103" i="2"/>
  <c r="L211" i="1"/>
  <c r="A13" i="12"/>
  <c r="D17" i="13"/>
  <c r="C17" i="13" s="1"/>
  <c r="D14" i="13"/>
  <c r="C14" i="13" s="1"/>
  <c r="L247" i="1"/>
  <c r="C17" i="10"/>
  <c r="J651" i="1"/>
  <c r="J639" i="1"/>
  <c r="K598" i="1"/>
  <c r="G647" i="1" s="1"/>
  <c r="J647" i="1" s="1"/>
  <c r="K571" i="1"/>
  <c r="L534" i="1"/>
  <c r="H257" i="1"/>
  <c r="H271" i="1" s="1"/>
  <c r="J257" i="1"/>
  <c r="J271" i="1" s="1"/>
  <c r="I52" i="1"/>
  <c r="H620" i="1" s="1"/>
  <c r="G625" i="1"/>
  <c r="J625" i="1" s="1"/>
  <c r="B164" i="2"/>
  <c r="G164" i="2" s="1"/>
  <c r="K503" i="1"/>
  <c r="C123" i="2"/>
  <c r="C114" i="2"/>
  <c r="C78" i="2"/>
  <c r="C81" i="2" s="1"/>
  <c r="C18" i="2"/>
  <c r="L270" i="1"/>
  <c r="L544" i="1"/>
  <c r="L524" i="1"/>
  <c r="J338" i="1"/>
  <c r="J352" i="1" s="1"/>
  <c r="C120" i="2"/>
  <c r="C13" i="10"/>
  <c r="I271" i="1"/>
  <c r="L382" i="1"/>
  <c r="G636" i="1" s="1"/>
  <c r="J636" i="1" s="1"/>
  <c r="K352" i="1"/>
  <c r="C62" i="2"/>
  <c r="C63" i="2" s="1"/>
  <c r="C29" i="10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G140" i="1"/>
  <c r="F140" i="1"/>
  <c r="F193" i="1" s="1"/>
  <c r="G627" i="1" s="1"/>
  <c r="J627" i="1" s="1"/>
  <c r="G63" i="2"/>
  <c r="G104" i="2" s="1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J652" i="1"/>
  <c r="J642" i="1"/>
  <c r="G571" i="1"/>
  <c r="I434" i="1"/>
  <c r="G434" i="1"/>
  <c r="I663" i="1"/>
  <c r="C27" i="10"/>
  <c r="G635" i="1"/>
  <c r="J635" i="1" s="1"/>
  <c r="L545" i="1" l="1"/>
  <c r="H660" i="1"/>
  <c r="H664" i="1" s="1"/>
  <c r="H667" i="1" s="1"/>
  <c r="E128" i="2"/>
  <c r="E115" i="2"/>
  <c r="E104" i="2"/>
  <c r="H193" i="1"/>
  <c r="G629" i="1" s="1"/>
  <c r="J629" i="1" s="1"/>
  <c r="C104" i="2"/>
  <c r="C36" i="10"/>
  <c r="L257" i="1"/>
  <c r="L271" i="1" s="1"/>
  <c r="G632" i="1" s="1"/>
  <c r="J632" i="1" s="1"/>
  <c r="C128" i="2"/>
  <c r="G672" i="1"/>
  <c r="C5" i="10" s="1"/>
  <c r="G667" i="1"/>
  <c r="C25" i="13"/>
  <c r="H33" i="13"/>
  <c r="F660" i="1"/>
  <c r="H648" i="1"/>
  <c r="J648" i="1" s="1"/>
  <c r="C39" i="10"/>
  <c r="C28" i="10"/>
  <c r="D24" i="10" s="1"/>
  <c r="D31" i="13"/>
  <c r="C31" i="13" s="1"/>
  <c r="C145" i="2"/>
  <c r="F33" i="13"/>
  <c r="I552" i="1"/>
  <c r="L338" i="1"/>
  <c r="L352" i="1" s="1"/>
  <c r="G633" i="1" s="1"/>
  <c r="J633" i="1" s="1"/>
  <c r="G552" i="1"/>
  <c r="K549" i="1"/>
  <c r="K552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E145" i="2"/>
  <c r="D23" i="10"/>
  <c r="D33" i="13"/>
  <c r="D36" i="13" s="1"/>
  <c r="D27" i="10"/>
  <c r="D10" i="10"/>
  <c r="D20" i="10"/>
  <c r="D13" i="10"/>
  <c r="D18" i="10"/>
  <c r="D15" i="10"/>
  <c r="D26" i="10"/>
  <c r="D11" i="10"/>
  <c r="D17" i="10"/>
  <c r="C30" i="10"/>
  <c r="D25" i="10"/>
  <c r="D21" i="10"/>
  <c r="D16" i="10"/>
  <c r="D12" i="10"/>
  <c r="D19" i="10"/>
  <c r="D22" i="10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<sst xmlns="http://schemas.openxmlformats.org/spreadsheetml/2006/main" count="3958" uniqueCount="914">
  <si>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</si>
  <si>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</si>
  <si>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</si>
  <si>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</si>
  <si>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</si>
  <si>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</si>
  <si>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</si>
  <si>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</si>
  <si>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</si>
  <si>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</si>
  <si>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</si>
  <si>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</si>
  <si>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</si>
  <si>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</si>
  <si>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</si>
  <si>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</si>
  <si>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</si>
  <si>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</si>
  <si>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</si>
  <si>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</si>
  <si>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</si>
  <si>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</si>
  <si>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</si>
  <si>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</si>
  <si>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</si>
  <si>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</si>
  <si>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</si>
  <si>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</si>
  <si>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</si>
  <si>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</si>
  <si>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</si>
  <si>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</si>
  <si>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</si>
  <si>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</si>
  <si>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</si>
  <si>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</si>
  <si>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</si>
  <si>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</si>
  <si>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</si>
  <si>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</si>
  <si>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</si>
  <si>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</si>
  <si>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</si>
  <si>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</si>
  <si>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</si>
  <si>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</si>
  <si>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</si>
  <si>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</si>
  <si>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</si>
  <si>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</si>
  <si>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</si>
  <si>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</si>
  <si>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</si>
  <si>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</si>
  <si>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</si>
  <si>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</si>
  <si>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</si>
  <si>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</si>
  <si>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</si>
  <si>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</si>
  <si>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</si>
  <si>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</si>
  <si>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</si>
  <si>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</si>
  <si>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</si>
  <si>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</si>
  <si>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</si>
  <si>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</si>
  <si>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</si>
  <si>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</si>
  <si>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</si>
  <si>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</si>
  <si>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</si>
  <si>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</si>
  <si>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</si>
  <si>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</si>
  <si>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</si>
  <si>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</si>
  <si>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</si>
  <si>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</si>
  <si>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</si>
  <si>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</si>
  <si>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</si>
  <si>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</si>
  <si>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</si>
  <si>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</si>
  <si>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</si>
  <si>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</si>
  <si>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</si>
  <si>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</si>
  <si>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</si>
  <si>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</si>
  <si>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</si>
  <si>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</si>
  <si>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</si>
  <si>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</si>
  <si>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</si>
  <si>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</si>
  <si>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</si>
  <si>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</si>
  <si>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</si>
  <si>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</si>
  <si>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</si>
  <si>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</si>
  <si>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</si>
  <si>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</si>
  <si>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</si>
  <si>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</si>
  <si>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</si>
  <si>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</si>
  <si>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</si>
  <si>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</si>
  <si>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</si>
  <si>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</si>
  <si>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</si>
  <si>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</si>
  <si>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</si>
  <si>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</si>
  <si>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</si>
  <si>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</si>
  <si>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</si>
  <si>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</si>
  <si>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</si>
  <si>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</si>
  <si>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</si>
  <si>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</si>
  <si>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</si>
  <si>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</si>
  <si>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</si>
  <si>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</si>
  <si>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</si>
  <si>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</si>
  <si>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</si>
  <si>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</si>
  <si>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</si>
  <si>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</si>
  <si>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</si>
  <si>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</si>
  <si>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</si>
  <si>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</si>
  <si>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</si>
  <si>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</si>
  <si>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</si>
  <si>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</si>
  <si>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</si>
  <si>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</si>
  <si>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</si>
  <si>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</si>
  <si>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</si>
  <si>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</si>
  <si>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</si>
  <si>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</si>
  <si>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</si>
  <si>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</si>
  <si>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</si>
  <si>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</si>
  <si>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</si>
  <si>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</si>
  <si>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</si>
  <si>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</si>
  <si>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</si>
  <si>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</si>
  <si>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</si>
  <si>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</si>
  <si>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</si>
  <si>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</si>
  <si>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</si>
  <si>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</si>
  <si>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</si>
  <si>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</si>
  <si>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</si>
  <si>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</si>
  <si>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</si>
  <si>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</si>
  <si>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</si>
  <si>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</si>
  <si>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</si>
  <si>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</si>
  <si>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</si>
  <si>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</si>
  <si>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</si>
  <si>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</si>
  <si>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</si>
  <si>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</si>
  <si>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</si>
  <si>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</si>
  <si>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</si>
  <si>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</si>
  <si>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</si>
  <si>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</si>
  <si>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</si>
  <si>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</si>
  <si>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</si>
  <si>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</si>
  <si>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</si>
  <si>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</si>
  <si>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</si>
  <si>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</si>
  <si>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</si>
  <si>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</si>
  <si>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</si>
  <si>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</si>
  <si>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</si>
  <si>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</si>
  <si>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</si>
  <si>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</si>
  <si>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</si>
  <si>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</si>
  <si>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</si>
  <si>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</si>
  <si>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</si>
  <si>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</si>
  <si>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</si>
  <si>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</si>
  <si>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</si>
  <si>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</si>
  <si>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</si>
  <si>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</si>
  <si>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</si>
  <si>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</si>
  <si>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</si>
  <si>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</si>
  <si>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</si>
  <si>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</si>
  <si>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</si>
  <si>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</si>
  <si>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</si>
  <si>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</si>
  <si>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</si>
  <si>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</si>
  <si>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</si>
  <si>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</si>
  <si>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</si>
  <si>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</si>
  <si>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</si>
  <si>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</si>
  <si>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</si>
  <si>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</si>
  <si>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</si>
  <si>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</si>
  <si>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</si>
  <si>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</si>
  <si>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</si>
  <si>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</si>
  <si>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</si>
  <si>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</si>
  <si>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</si>
  <si>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</si>
  <si>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</si>
  <si>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</si>
  <si>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</si>
  <si>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</si>
  <si>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</si>
  <si>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</si>
  <si>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</si>
  <si>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</si>
  <si>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</si>
  <si>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</si>
  <si>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</si>
  <si>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</si>
  <si>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</si>
  <si>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</si>
  <si>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</si>
  <si>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</si>
  <si>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</si>
  <si>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</si>
  <si>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</si>
  <si>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</si>
  <si>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</si>
  <si>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</si>
  <si>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</si>
  <si>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</si>
  <si>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</si>
  <si>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</si>
  <si>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</si>
  <si>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</si>
  <si>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</si>
  <si>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</si>
  <si>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</si>
  <si>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</si>
  <si>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</si>
  <si>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</si>
  <si>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</si>
  <si>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</si>
  <si>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</si>
  <si>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</si>
  <si>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</si>
  <si>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</si>
  <si>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</si>
  <si>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</si>
  <si>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</si>
  <si>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</si>
  <si>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</si>
  <si>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</si>
  <si>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</si>
  <si>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</si>
  <si>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</si>
  <si>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</si>
  <si>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</si>
  <si>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</si>
  <si>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</si>
  <si>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</si>
  <si>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</si>
  <si>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</si>
  <si>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</si>
  <si>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</si>
  <si>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</si>
  <si>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</si>
  <si>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</si>
  <si>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</si>
  <si>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</si>
  <si>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</si>
  <si>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</si>
  <si>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</si>
  <si>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</si>
  <si>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</si>
  <si>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</si>
  <si>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</si>
  <si>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</si>
  <si>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</si>
  <si>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</si>
  <si>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</si>
  <si>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</si>
  <si>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</si>
  <si>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</si>
  <si>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</si>
  <si>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</si>
  <si>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</si>
  <si>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</si>
  <si>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</si>
  <si>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</si>
  <si>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</si>
  <si>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</si>
  <si>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</si>
  <si>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</si>
  <si>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</si>
  <si>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</si>
  <si>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</si>
  <si>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</si>
  <si>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</si>
  <si>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</si>
  <si>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</si>
  <si>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</si>
  <si>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</si>
  <si>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</si>
  <si>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</si>
  <si>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</si>
  <si>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</si>
  <si>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</si>
  <si>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</si>
  <si>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</si>
  <si>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</si>
  <si>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</si>
  <si>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</si>
  <si>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</si>
  <si>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</si>
  <si>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</si>
  <si>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</si>
  <si>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</si>
  <si>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</si>
  <si>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</si>
  <si>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</si>
  <si>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</si>
  <si>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</si>
  <si>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</si>
  <si>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</si>
  <si>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</si>
  <si>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</si>
  <si>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</si>
  <si>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</si>
  <si>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</si>
  <si>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</si>
  <si>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</si>
  <si>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</si>
  <si>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</si>
  <si>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</si>
  <si>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</si>
  <si>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</si>
  <si>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</si>
  <si>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</si>
  <si>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</si>
  <si>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</si>
  <si>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</si>
  <si>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</si>
  <si>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</si>
  <si>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</si>
  <si>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</si>
  <si>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</si>
  <si>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</si>
  <si>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</si>
  <si>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</si>
  <si>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</si>
  <si>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</si>
  <si>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</si>
  <si>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</si>
  <si>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</si>
  <si>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</si>
  <si>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</si>
  <si>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</si>
  <si>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</si>
  <si>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</si>
  <si>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</si>
  <si>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</si>
  <si>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</si>
  <si>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</si>
  <si>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</si>
  <si>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</si>
  <si>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</si>
  <si>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</si>
  <si>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</si>
  <si>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</si>
  <si>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</si>
  <si>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</si>
  <si>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</si>
  <si>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</si>
  <si>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</si>
  <si>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</si>
  <si>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</si>
  <si>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</si>
  <si>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</si>
  <si>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</si>
  <si>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</si>
  <si>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</si>
  <si>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</si>
  <si>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</si>
  <si>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</si>
  <si>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</si>
  <si>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</si>
  <si>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</si>
  <si>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</si>
  <si>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</si>
  <si>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</si>
  <si>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</si>
  <si>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</si>
  <si>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</si>
  <si>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</si>
  <si>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</si>
  <si>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</si>
  <si>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</si>
  <si>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</si>
  <si>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</si>
  <si>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</si>
  <si>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</si>
  <si>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</si>
  <si>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</si>
  <si>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</si>
  <si>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</si>
  <si>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</si>
  <si>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</si>
  <si>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</si>
  <si>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</si>
  <si>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</si>
  <si>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</si>
  <si>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</si>
  <si>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</si>
  <si>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</si>
  <si>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</si>
  <si>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</si>
  <si>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</si>
  <si>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</si>
  <si>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</si>
  <si>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</si>
  <si>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</si>
  <si>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</si>
  <si>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</si>
  <si>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</si>
  <si>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</si>
  <si>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</si>
  <si>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</si>
  <si>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</si>
  <si>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</si>
  <si>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</si>
  <si>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</si>
  <si>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</si>
  <si>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</si>
  <si>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</si>
  <si>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</si>
  <si>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</si>
  <si>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</si>
  <si>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</si>
  <si>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</si>
  <si>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</si>
  <si>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</si>
  <si>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</si>
  <si>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</si>
  <si>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</si>
  <si>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</si>
  <si>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</si>
  <si>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</si>
  <si>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</si>
  <si>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</si>
  <si>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</si>
  <si>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</si>
  <si>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</si>
  <si>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</si>
  <si>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</si>
  <si>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</si>
  <si>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</si>
  <si>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</si>
  <si>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</si>
  <si>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</si>
  <si>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</si>
  <si>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</si>
  <si>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</si>
  <si>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</si>
  <si>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</si>
  <si>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</si>
  <si>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</si>
  <si>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</si>
  <si>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</si>
  <si>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</si>
  <si>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</si>
  <si>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</si>
  <si>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</si>
  <si>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</si>
  <si>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</si>
  <si>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</si>
  <si>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</si>
  <si>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</si>
  <si>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</si>
  <si>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</si>
  <si>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</si>
  <si>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</si>
  <si>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</si>
  <si>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</si>
  <si>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</si>
  <si>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</si>
  <si>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</si>
  <si>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</si>
  <si>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</si>
  <si>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</si>
  <si>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</si>
  <si>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</si>
  <si>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</si>
  <si>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</si>
  <si>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</si>
  <si>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</si>
  <si>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</si>
  <si>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</si>
  <si>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</si>
  <si>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</si>
  <si>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</si>
  <si>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</si>
  <si>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</si>
  <si>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</si>
  <si>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</si>
  <si>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</si>
  <si>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</si>
  <si>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</si>
  <si>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</si>
  <si>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</si>
  <si>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</si>
  <si>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</si>
  <si>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</si>
  <si>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</si>
  <si>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</si>
  <si>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</si>
  <si>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</si>
  <si>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</si>
  <si>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</si>
  <si>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</si>
  <si>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</si>
  <si>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</si>
  <si>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</si>
  <si>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</si>
  <si>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</si>
  <si>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</si>
  <si>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</si>
  <si>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</si>
  <si>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</si>
  <si>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</si>
  <si>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</si>
  <si>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</si>
  <si>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</si>
  <si>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</si>
  <si>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</si>
  <si>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</si>
  <si>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</si>
  <si>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</si>
  <si>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</si>
  <si>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</si>
  <si>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</si>
  <si>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</si>
  <si>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</si>
  <si>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</si>
  <si>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</si>
  <si>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</si>
  <si>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</si>
  <si>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</si>
  <si>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</si>
  <si>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</si>
  <si>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</si>
  <si>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</si>
  <si>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</si>
  <si>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</si>
  <si>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</si>
  <si>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</si>
  <si>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</si>
  <si>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</si>
  <si>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</si>
  <si>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</si>
  <si>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</si>
  <si>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</si>
  <si>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</si>
  <si>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</si>
  <si>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</si>
  <si>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</si>
  <si>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</si>
  <si>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</si>
  <si>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</si>
  <si>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</si>
  <si>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</si>
  <si>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</si>
  <si>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</si>
  <si>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</si>
  <si>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</si>
  <si>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</si>
  <si>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</si>
  <si>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</si>
  <si>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</si>
  <si>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</si>
  <si>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</si>
  <si>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</si>
  <si>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</si>
  <si>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</si>
  <si>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</si>
  <si>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</si>
  <si>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</si>
  <si>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</si>
  <si>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</si>
  <si>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</si>
  <si>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</si>
  <si>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</si>
  <si>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</si>
  <si>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</si>
  <si>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</si>
  <si>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</si>
  <si>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</si>
  <si>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</si>
  <si>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</si>
  <si>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</si>
  <si>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</si>
  <si>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</si>
  <si>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</si>
  <si>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</si>
  <si>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</si>
  <si>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</si>
  <si>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</si>
  <si>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</si>
  <si>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</si>
  <si>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</si>
  <si>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</si>
  <si>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</si>
  <si>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</si>
  <si>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</si>
  <si>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</si>
  <si>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</si>
  <si>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</si>
  <si>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</si>
  <si>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</si>
  <si>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</si>
  <si>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</si>
  <si>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</si>
  <si>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</si>
  <si>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</si>
  <si>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</si>
  <si>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</si>
  <si>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</si>
  <si>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</si>
  <si>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</si>
  <si>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</si>
  <si>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</si>
  <si>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</si>
  <si>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</si>
  <si>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</si>
  <si>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</si>
  <si>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</si>
  <si>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</si>
  <si>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</si>
  <si>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</si>
  <si>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</si>
  <si>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</si>
  <si>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</si>
  <si>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</si>
  <si>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</si>
  <si>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</si>
  <si>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</si>
  <si>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</si>
  <si>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</si>
  <si>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</si>
  <si>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</si>
  <si>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</si>
  <si>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</si>
  <si>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</si>
  <si>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</si>
  <si>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</si>
  <si>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</si>
  <si>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</si>
  <si>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</si>
  <si>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</si>
  <si>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</si>
  <si>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</si>
  <si>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</si>
  <si>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</si>
  <si>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</si>
  <si>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</si>
  <si>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</si>
  <si>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</si>
  <si>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</si>
  <si>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</si>
  <si>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</si>
  <si>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</si>
  <si>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</si>
  <si>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</si>
  <si>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</si>
  <si>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</si>
  <si>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</si>
  <si>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</si>
  <si>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</si>
  <si>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</si>
  <si>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</si>
  <si>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</si>
  <si>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</si>
  <si>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</si>
  <si>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</si>
  <si>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</si>
  <si>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</si>
  <si>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</si>
  <si>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</si>
  <si>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</si>
  <si>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</si>
  <si>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</si>
  <si>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</si>
  <si>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</si>
  <si>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</si>
  <si>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</si>
  <si>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</si>
  <si>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</si>
  <si>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</si>
  <si>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</si>
  <si>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</si>
  <si>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</si>
  <si>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</si>
  <si>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</si>
  <si>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</si>
  <si>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</si>
  <si>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</si>
  <si>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</si>
  <si>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</si>
  <si>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</si>
  <si>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</si>
  <si>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</si>
  <si>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</si>
  <si>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</si>
  <si>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</si>
  <si>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</si>
  <si>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</si>
  <si>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</si>
  <si>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</si>
  <si>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</si>
  <si>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</si>
  <si>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</si>
  <si>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</si>
  <si>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</si>
  <si>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</si>
  <si>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</si>
  <si>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</si>
  <si>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</si>
  <si>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</si>
  <si>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</si>
  <si>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</si>
  <si>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</si>
  <si>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</si>
  <si>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</si>
  <si>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</si>
  <si>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</si>
  <si>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</si>
  <si>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</si>
  <si>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</si>
  <si>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</si>
  <si>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</si>
  <si>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</si>
  <si>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</si>
  <si>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</si>
  <si>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</si>
  <si>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</si>
  <si>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</si>
  <si>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</si>
  <si>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</si>
  <si>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</si>
  <si>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</si>
  <si>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</si>
  <si>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</si>
  <si>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</si>
  <si>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</si>
  <si>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</si>
  <si>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</si>
  <si>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</si>
  <si>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</si>
  <si>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</si>
  <si>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</si>
  <si>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</si>
  <si>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</si>
  <si>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</si>
  <si>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</si>
  <si>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</si>
  <si>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</si>
  <si>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</si>
  <si>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</si>
  <si>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</si>
  <si>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</si>
  <si>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</si>
  <si>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</si>
  <si>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</si>
  <si>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</si>
  <si>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</si>
  <si>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</si>
  <si>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</si>
  <si>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</si>
  <si>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</si>
  <si>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</si>
  <si>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</si>
  <si>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</si>
  <si>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</si>
  <si>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</si>
  <si>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</si>
  <si>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</si>
  <si>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</si>
  <si>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</si>
  <si>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</si>
  <si>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</si>
  <si>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</si>
  <si>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</si>
  <si>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</si>
  <si>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</si>
  <si>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</si>
  <si>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</si>
  <si>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</si>
  <si>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</si>
  <si>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</si>
  <si>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</si>
  <si>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</si>
  <si>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</si>
  <si>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</si>
  <si>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</si>
  <si>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</si>
  <si>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</si>
  <si>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</si>
  <si>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</si>
  <si>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</si>
  <si>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</si>
  <si>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</si>
  <si>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</si>
  <si>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</si>
  <si>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</si>
  <si>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</si>
  <si>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</si>
  <si>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</si>
  <si>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</si>
  <si>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</si>
  <si>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</si>
  <si>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</si>
  <si>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</si>
  <si>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</si>
  <si>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</si>
  <si>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</si>
  <si>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</si>
  <si>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</si>
  <si>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</si>
  <si>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</si>
  <si>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</si>
  <si>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</si>
  <si>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</si>
  <si>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</si>
  <si>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</si>
  <si>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</si>
  <si>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</si>
  <si>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</si>
  <si>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</si>
  <si>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</si>
  <si>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</si>
  <si>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</si>
  <si>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</si>
  <si>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</si>
  <si>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</si>
  <si>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</si>
  <si>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</si>
  <si>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</si>
  <si>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</si>
  <si>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</si>
  <si>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</si>
  <si>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</si>
  <si>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</si>
  <si>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</si>
  <si>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</si>
  <si>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</si>
  <si>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</si>
  <si>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</si>
  <si>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</si>
  <si>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</si>
  <si>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</si>
  <si>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</si>
  <si>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</si>
  <si>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</si>
  <si>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</si>
  <si>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</si>
  <si>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</si>
  <si>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</si>
  <si>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</si>
  <si>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</si>
  <si>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</si>
  <si>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</si>
  <si>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Pemi-Baker Regional School District</t>
  </si>
  <si>
    <t>Deferred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</si>
</sst>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428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1527280.79</v>
      </c>
      <c r="G9" s="18">
        <v>-55610.39</v>
      </c>
      <c r="H9" s="18">
        <v>-88225.49</v>
      </c>
      <c r="I9" s="18">
        <v>-4983.78</v>
      </c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3386.27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70878.149999999994</v>
      </c>
      <c r="G13" s="18">
        <v>24392.61</v>
      </c>
      <c r="H13" s="18">
        <v>100972.53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2416.16</v>
      </c>
      <c r="G14" s="18">
        <v>53391.45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28167.9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1628742.9999999998</v>
      </c>
      <c r="G19" s="41">
        <f>SUM(G9:G18)</f>
        <v>22173.67</v>
      </c>
      <c r="H19" s="41">
        <f>SUM(H9:H18)</f>
        <v>12747.039999999994</v>
      </c>
      <c r="I19" s="41">
        <f>SUM(I9:I18)</f>
        <v>-4983.78</v>
      </c>
      <c r="J19" s="41">
        <f>SUM(J9:J18)</f>
        <v>3386.27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530985.51</v>
      </c>
      <c r="G24" s="18">
        <v>14.6</v>
      </c>
      <c r="H24" s="18">
        <v>11971.88</v>
      </c>
      <c r="I24" s="18">
        <v>802620.57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>
        <v>1163826.1000000001</v>
      </c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>
        <v>775.16</v>
      </c>
      <c r="I30" s="18">
        <v>6286.22</v>
      </c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530985.51</v>
      </c>
      <c r="G32" s="41">
        <f>SUM(G22:G31)</f>
        <v>14.6</v>
      </c>
      <c r="H32" s="41">
        <f>SUM(H22:H31)</f>
        <v>12747.039999999999</v>
      </c>
      <c r="I32" s="41">
        <f>SUM(I22:I31)</f>
        <v>1972732.89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672299.68</v>
      </c>
      <c r="G45" s="18"/>
      <c r="H45" s="18">
        <v>18649.79</v>
      </c>
      <c r="I45" s="18">
        <v>680056.75</v>
      </c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100000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22159.07</v>
      </c>
      <c r="H48" s="18">
        <v>-18649.79</v>
      </c>
      <c r="I48" s="18">
        <v>-2657773.42</v>
      </c>
      <c r="J48" s="13">
        <f>SUM(I459)</f>
        <v>3386.27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325457.81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1097757.49</v>
      </c>
      <c r="G51" s="41">
        <f>SUM(G35:G50)</f>
        <v>22159.07</v>
      </c>
      <c r="H51" s="41">
        <f>SUM(H35:H50)</f>
        <v>0</v>
      </c>
      <c r="I51" s="41">
        <f>SUM(I35:I50)</f>
        <v>-1977716.67</v>
      </c>
      <c r="J51" s="41">
        <f>SUM(J35:J50)</f>
        <v>3386.27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1628743</v>
      </c>
      <c r="G52" s="41">
        <f>G51+G32</f>
        <v>22173.67</v>
      </c>
      <c r="H52" s="41">
        <f>H51+H32</f>
        <v>12747.039999999999</v>
      </c>
      <c r="I52" s="41">
        <f>I51+I32</f>
        <v>-4983.7800000000279</v>
      </c>
      <c r="J52" s="41">
        <f>J51+J32</f>
        <v>3386.27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8338392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8338392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9544.8799999999992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412094.09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114845.44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13185.36</v>
      </c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549669.77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1958.13</v>
      </c>
      <c r="G96" s="18"/>
      <c r="H96" s="18"/>
      <c r="I96" s="18"/>
      <c r="J96" s="18">
        <v>44.13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152632.9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>
        <v>9992.5</v>
      </c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-78.86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80002.259999999995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81881.53</v>
      </c>
      <c r="G111" s="41">
        <f>SUM(G96:G110)</f>
        <v>152632.9</v>
      </c>
      <c r="H111" s="41">
        <f>SUM(H96:H110)</f>
        <v>0</v>
      </c>
      <c r="I111" s="41">
        <f>SUM(I96:I110)</f>
        <v>9992.5</v>
      </c>
      <c r="J111" s="41">
        <f>SUM(J96:J110)</f>
        <v>44.13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8969943.2999999989</v>
      </c>
      <c r="G112" s="41">
        <f>G60+G111</f>
        <v>152632.9</v>
      </c>
      <c r="H112" s="41">
        <f>H60+H79+H94+H111</f>
        <v>0</v>
      </c>
      <c r="I112" s="41">
        <f>I60+I111</f>
        <v>9992.5</v>
      </c>
      <c r="J112" s="41">
        <f>J60+J111</f>
        <v>44.13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2307688.98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1758767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4066455.98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343714.01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34582.699999999997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3160.27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23112.58</v>
      </c>
      <c r="G135" s="18"/>
      <c r="H135" s="18"/>
      <c r="I135" s="18">
        <v>714938.94</v>
      </c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401409.29000000004</v>
      </c>
      <c r="G136" s="41">
        <f>SUM(G123:G135)</f>
        <v>3160.27</v>
      </c>
      <c r="H136" s="41">
        <f>SUM(H123:H135)</f>
        <v>0</v>
      </c>
      <c r="I136" s="41">
        <f>SUM(I123:I135)</f>
        <v>714938.94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4467865.2699999996</v>
      </c>
      <c r="G140" s="41">
        <f>G121+SUM(G136:G137)</f>
        <v>3160.27</v>
      </c>
      <c r="H140" s="41">
        <f>H121+SUM(H136:H139)</f>
        <v>0</v>
      </c>
      <c r="I140" s="41">
        <f>I121+I136</f>
        <v>714938.94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322473.23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34665.279999999999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109745.43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>
        <v>16151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93836.12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119763.55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8310.2000000000007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119763.55</v>
      </c>
      <c r="G162" s="41">
        <f>SUM(G150:G161)</f>
        <v>93836.12</v>
      </c>
      <c r="H162" s="41">
        <f>SUM(H150:H161)</f>
        <v>491345.14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119763.55</v>
      </c>
      <c r="G169" s="41">
        <f>G147+G162+SUM(G163:G168)</f>
        <v>93836.12</v>
      </c>
      <c r="H169" s="41">
        <f>H147+H162+SUM(H163:H168)</f>
        <v>491345.14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13557572.119999999</v>
      </c>
      <c r="G193" s="47">
        <f>G112+G140+G169+G192</f>
        <v>249629.28999999998</v>
      </c>
      <c r="H193" s="47">
        <f>H112+H140+H169+H192</f>
        <v>491345.14</v>
      </c>
      <c r="I193" s="47">
        <f>I112+I140+I169+I192</f>
        <v>724931.44</v>
      </c>
      <c r="J193" s="47">
        <f>J112+J140+J192</f>
        <v>44.13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2872601.78</v>
      </c>
      <c r="G233" s="18">
        <v>1551407.09</v>
      </c>
      <c r="H233" s="18">
        <v>95297.1</v>
      </c>
      <c r="I233" s="18">
        <v>90188.07</v>
      </c>
      <c r="J233" s="18">
        <v>127373.43</v>
      </c>
      <c r="K233" s="18">
        <v>485</v>
      </c>
      <c r="L233" s="19">
        <f>SUM(F233:K233)</f>
        <v>4737352.47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1046545.13</v>
      </c>
      <c r="G234" s="18">
        <v>654854.31000000006</v>
      </c>
      <c r="H234" s="18">
        <v>638050.5</v>
      </c>
      <c r="I234" s="18">
        <v>12536.79</v>
      </c>
      <c r="J234" s="18">
        <v>8123.24</v>
      </c>
      <c r="K234" s="18">
        <v>585</v>
      </c>
      <c r="L234" s="19">
        <f>SUM(F234:K234)</f>
        <v>2360694.9700000002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275359.2</v>
      </c>
      <c r="G235" s="18">
        <v>139787.07</v>
      </c>
      <c r="H235" s="18">
        <v>4869.9399999999996</v>
      </c>
      <c r="I235" s="18">
        <v>26170.91</v>
      </c>
      <c r="J235" s="18">
        <v>2853</v>
      </c>
      <c r="K235" s="18">
        <v>2370</v>
      </c>
      <c r="L235" s="19">
        <f>SUM(F235:K235)</f>
        <v>451410.12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269493.69</v>
      </c>
      <c r="G236" s="18">
        <v>57107.33</v>
      </c>
      <c r="H236" s="18">
        <v>98351.37</v>
      </c>
      <c r="I236" s="18">
        <v>48127.51</v>
      </c>
      <c r="J236" s="18">
        <v>44142.65</v>
      </c>
      <c r="K236" s="18">
        <v>9535</v>
      </c>
      <c r="L236" s="19">
        <f>SUM(F236:K236)</f>
        <v>526757.55000000005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553320.46</v>
      </c>
      <c r="G238" s="18">
        <v>280739.98</v>
      </c>
      <c r="H238" s="18">
        <v>212474.51</v>
      </c>
      <c r="I238" s="18">
        <v>4837.08</v>
      </c>
      <c r="J238" s="18">
        <v>118.79</v>
      </c>
      <c r="K238" s="18">
        <v>1552</v>
      </c>
      <c r="L238" s="19">
        <f t="shared" ref="L238:L244" si="4">SUM(F238:K238)</f>
        <v>1053042.82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147652.70000000001</v>
      </c>
      <c r="G239" s="18">
        <v>144401.60999999999</v>
      </c>
      <c r="H239" s="18">
        <v>495</v>
      </c>
      <c r="I239" s="18">
        <v>21860.25</v>
      </c>
      <c r="J239" s="18">
        <v>509.46</v>
      </c>
      <c r="K239" s="18">
        <v>0</v>
      </c>
      <c r="L239" s="19">
        <f t="shared" si="4"/>
        <v>314919.02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316025.15000000002</v>
      </c>
      <c r="G240" s="18">
        <v>167194.13</v>
      </c>
      <c r="H240" s="18">
        <v>457183.35</v>
      </c>
      <c r="I240" s="18">
        <v>3410.11</v>
      </c>
      <c r="J240" s="18">
        <v>0</v>
      </c>
      <c r="K240" s="18">
        <v>4158.9799999999996</v>
      </c>
      <c r="L240" s="19">
        <f t="shared" si="4"/>
        <v>947971.72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364582.85</v>
      </c>
      <c r="G241" s="18">
        <v>226658.83</v>
      </c>
      <c r="H241" s="18">
        <v>12542.08</v>
      </c>
      <c r="I241" s="18">
        <v>3856.87</v>
      </c>
      <c r="J241" s="18">
        <v>0</v>
      </c>
      <c r="K241" s="18">
        <v>17750.990000000002</v>
      </c>
      <c r="L241" s="19">
        <f t="shared" si="4"/>
        <v>625391.61999999988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0</v>
      </c>
      <c r="G242" s="18">
        <v>0</v>
      </c>
      <c r="H242" s="18">
        <v>1429.73</v>
      </c>
      <c r="I242" s="18">
        <v>0</v>
      </c>
      <c r="J242" s="18">
        <v>0</v>
      </c>
      <c r="K242" s="18">
        <v>0</v>
      </c>
      <c r="L242" s="19">
        <f t="shared" si="4"/>
        <v>1429.73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437943.97</v>
      </c>
      <c r="G243" s="18">
        <v>208180.62</v>
      </c>
      <c r="H243" s="18">
        <v>359647.34</v>
      </c>
      <c r="I243" s="18">
        <v>294314.31</v>
      </c>
      <c r="J243" s="18">
        <v>11824.13</v>
      </c>
      <c r="K243" s="18">
        <v>0</v>
      </c>
      <c r="L243" s="19">
        <f t="shared" si="4"/>
        <v>1311910.3699999999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0</v>
      </c>
      <c r="G244" s="18">
        <v>0</v>
      </c>
      <c r="H244" s="18">
        <v>619376.56999999995</v>
      </c>
      <c r="I244" s="18">
        <v>0</v>
      </c>
      <c r="J244" s="18">
        <v>0</v>
      </c>
      <c r="K244" s="18">
        <v>0</v>
      </c>
      <c r="L244" s="19">
        <f t="shared" si="4"/>
        <v>619376.56999999995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6283524.9299999997</v>
      </c>
      <c r="G247" s="41">
        <f t="shared" si="5"/>
        <v>3430330.97</v>
      </c>
      <c r="H247" s="41">
        <f t="shared" si="5"/>
        <v>2499717.4900000002</v>
      </c>
      <c r="I247" s="41">
        <f t="shared" si="5"/>
        <v>505301.9</v>
      </c>
      <c r="J247" s="41">
        <f t="shared" si="5"/>
        <v>194944.69999999998</v>
      </c>
      <c r="K247" s="41">
        <f t="shared" si="5"/>
        <v>36436.97</v>
      </c>
      <c r="L247" s="41">
        <f t="shared" si="5"/>
        <v>12950256.959999999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38066.949999999997</v>
      </c>
      <c r="I255" s="18"/>
      <c r="J255" s="18"/>
      <c r="K255" s="18"/>
      <c r="L255" s="19">
        <f t="shared" si="6"/>
        <v>38066.949999999997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38066.949999999997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38066.949999999997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6283524.9299999997</v>
      </c>
      <c r="G257" s="41">
        <f t="shared" si="8"/>
        <v>3430330.97</v>
      </c>
      <c r="H257" s="41">
        <f t="shared" si="8"/>
        <v>2537784.4400000004</v>
      </c>
      <c r="I257" s="41">
        <f t="shared" si="8"/>
        <v>505301.9</v>
      </c>
      <c r="J257" s="41">
        <f t="shared" si="8"/>
        <v>194944.69999999998</v>
      </c>
      <c r="K257" s="41">
        <f t="shared" si="8"/>
        <v>36436.97</v>
      </c>
      <c r="L257" s="41">
        <f t="shared" si="8"/>
        <v>12988323.909999998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86460.93</v>
      </c>
      <c r="L260" s="19">
        <f>SUM(F260:K260)</f>
        <v>86460.93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85830.5</v>
      </c>
      <c r="L261" s="19">
        <f>SUM(F261:K261)</f>
        <v>85830.5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172291.43</v>
      </c>
      <c r="L270" s="41">
        <f t="shared" si="9"/>
        <v>172291.43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6283524.9299999997</v>
      </c>
      <c r="G271" s="42">
        <f t="shared" si="11"/>
        <v>3430330.97</v>
      </c>
      <c r="H271" s="42">
        <f t="shared" si="11"/>
        <v>2537784.4400000004</v>
      </c>
      <c r="I271" s="42">
        <f t="shared" si="11"/>
        <v>505301.9</v>
      </c>
      <c r="J271" s="42">
        <f t="shared" si="11"/>
        <v>194944.69999999998</v>
      </c>
      <c r="K271" s="42">
        <f t="shared" si="11"/>
        <v>208728.4</v>
      </c>
      <c r="L271" s="42">
        <f t="shared" si="11"/>
        <v>13160615.339999998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148047.10999999999</v>
      </c>
      <c r="G314" s="18">
        <v>65012.37</v>
      </c>
      <c r="H314" s="18"/>
      <c r="I314" s="18">
        <v>34789.07</v>
      </c>
      <c r="J314" s="18">
        <v>27497.06</v>
      </c>
      <c r="K314" s="18"/>
      <c r="L314" s="19">
        <f>SUM(F314:K314)</f>
        <v>275345.61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>
        <v>29943.39</v>
      </c>
      <c r="I316" s="18">
        <v>8384.43</v>
      </c>
      <c r="J316" s="18">
        <v>64760.95</v>
      </c>
      <c r="K316" s="18">
        <v>6456.66</v>
      </c>
      <c r="L316" s="19">
        <f>SUM(F316:K316)</f>
        <v>109545.43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14210.32</v>
      </c>
      <c r="G317" s="18">
        <v>2578.61</v>
      </c>
      <c r="H317" s="18">
        <v>479.4</v>
      </c>
      <c r="I317" s="18">
        <v>17440.18</v>
      </c>
      <c r="J317" s="18">
        <v>3510.3</v>
      </c>
      <c r="K317" s="18">
        <v>925.21</v>
      </c>
      <c r="L317" s="19">
        <f>SUM(F317:K317)</f>
        <v>39144.020000000004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7067.03</v>
      </c>
      <c r="G319" s="18">
        <v>3353.05</v>
      </c>
      <c r="H319" s="18">
        <v>0</v>
      </c>
      <c r="I319" s="18">
        <v>1500</v>
      </c>
      <c r="J319" s="18">
        <v>0</v>
      </c>
      <c r="K319" s="18">
        <v>0</v>
      </c>
      <c r="L319" s="19">
        <f t="shared" ref="L319:L325" si="16">SUM(F319:K319)</f>
        <v>11920.08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0</v>
      </c>
      <c r="G320" s="18">
        <v>0</v>
      </c>
      <c r="H320" s="18">
        <v>9503.67</v>
      </c>
      <c r="I320" s="18">
        <v>0</v>
      </c>
      <c r="J320" s="18">
        <v>0</v>
      </c>
      <c r="K320" s="18">
        <v>0</v>
      </c>
      <c r="L320" s="19">
        <f t="shared" si="16"/>
        <v>9503.67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15298.66</v>
      </c>
      <c r="G321" s="18">
        <v>0</v>
      </c>
      <c r="H321" s="18">
        <v>0</v>
      </c>
      <c r="I321" s="18">
        <v>0</v>
      </c>
      <c r="J321" s="18">
        <v>0</v>
      </c>
      <c r="K321" s="18">
        <v>1441.42</v>
      </c>
      <c r="L321" s="19">
        <f t="shared" si="16"/>
        <v>16740.080000000002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0</v>
      </c>
      <c r="G322" s="18">
        <v>0</v>
      </c>
      <c r="H322" s="18">
        <v>11668.48</v>
      </c>
      <c r="I322" s="18">
        <v>0</v>
      </c>
      <c r="J322" s="18">
        <v>0</v>
      </c>
      <c r="K322" s="18">
        <v>0</v>
      </c>
      <c r="L322" s="19">
        <f t="shared" si="16"/>
        <v>11668.48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17027.77</v>
      </c>
      <c r="L323" s="19">
        <f t="shared" si="16"/>
        <v>17027.77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>
        <v>0</v>
      </c>
      <c r="G325" s="18">
        <v>0</v>
      </c>
      <c r="H325" s="18">
        <v>450</v>
      </c>
      <c r="I325" s="18">
        <v>0</v>
      </c>
      <c r="J325" s="18">
        <v>0</v>
      </c>
      <c r="K325" s="18">
        <v>0</v>
      </c>
      <c r="L325" s="19">
        <f t="shared" si="16"/>
        <v>450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184623.12</v>
      </c>
      <c r="G328" s="42">
        <f t="shared" si="17"/>
        <v>70944.03</v>
      </c>
      <c r="H328" s="42">
        <f t="shared" si="17"/>
        <v>52044.94</v>
      </c>
      <c r="I328" s="42">
        <f t="shared" si="17"/>
        <v>62113.68</v>
      </c>
      <c r="J328" s="42">
        <f t="shared" si="17"/>
        <v>95768.31</v>
      </c>
      <c r="K328" s="42">
        <f t="shared" si="17"/>
        <v>25851.06</v>
      </c>
      <c r="L328" s="41">
        <f t="shared" si="17"/>
        <v>491345.14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184623.12</v>
      </c>
      <c r="G338" s="41">
        <f t="shared" si="20"/>
        <v>70944.03</v>
      </c>
      <c r="H338" s="41">
        <f t="shared" si="20"/>
        <v>52044.94</v>
      </c>
      <c r="I338" s="41">
        <f t="shared" si="20"/>
        <v>62113.68</v>
      </c>
      <c r="J338" s="41">
        <f t="shared" si="20"/>
        <v>95768.31</v>
      </c>
      <c r="K338" s="41">
        <f t="shared" si="20"/>
        <v>25851.06</v>
      </c>
      <c r="L338" s="41">
        <f t="shared" si="20"/>
        <v>491345.14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184623.12</v>
      </c>
      <c r="G352" s="41">
        <f>G338</f>
        <v>70944.03</v>
      </c>
      <c r="H352" s="41">
        <f>H338</f>
        <v>52044.94</v>
      </c>
      <c r="I352" s="41">
        <f>I338</f>
        <v>62113.68</v>
      </c>
      <c r="J352" s="41">
        <f>J338</f>
        <v>95768.31</v>
      </c>
      <c r="K352" s="47">
        <f>K338+K351</f>
        <v>25851.06</v>
      </c>
      <c r="L352" s="41">
        <f>L338+L351</f>
        <v>491345.14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>
        <v>248742</v>
      </c>
      <c r="I360" s="18"/>
      <c r="J360" s="18"/>
      <c r="K360" s="18"/>
      <c r="L360" s="19">
        <f>SUM(F360:K360)</f>
        <v>248742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248742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248742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>
        <v>5087.5</v>
      </c>
      <c r="K375" s="18"/>
      <c r="L375" s="13">
        <f t="shared" ref="L375:L381" si="23">SUM(F375:K375)</f>
        <v>5087.5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>
        <v>2697025.61</v>
      </c>
      <c r="I379" s="18"/>
      <c r="J379" s="18"/>
      <c r="K379" s="18"/>
      <c r="L379" s="13">
        <f t="shared" si="23"/>
        <v>2697025.61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2697025.61</v>
      </c>
      <c r="I382" s="41">
        <f t="shared" si="24"/>
        <v>0</v>
      </c>
      <c r="J382" s="47">
        <f t="shared" si="24"/>
        <v>5087.5</v>
      </c>
      <c r="K382" s="47">
        <f t="shared" si="24"/>
        <v>0</v>
      </c>
      <c r="L382" s="47">
        <f t="shared" si="24"/>
        <v>2702113.11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>
        <v>21.54</v>
      </c>
      <c r="I389" s="18"/>
      <c r="J389" s="24" t="s">
        <v>286</v>
      </c>
      <c r="K389" s="24" t="s">
        <v>286</v>
      </c>
      <c r="L389" s="56">
        <f t="shared" si="25"/>
        <v>21.54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21.54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21.54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22.59</v>
      </c>
      <c r="I397" s="18"/>
      <c r="J397" s="24" t="s">
        <v>286</v>
      </c>
      <c r="K397" s="24" t="s">
        <v>286</v>
      </c>
      <c r="L397" s="56">
        <f t="shared" si="26"/>
        <v>22.59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22.59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22.59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44.129999999999995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44.129999999999995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3386.27</v>
      </c>
      <c r="G440" s="18"/>
      <c r="H440" s="18"/>
      <c r="I440" s="56">
        <f t="shared" si="33"/>
        <v>3386.27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3386.27</v>
      </c>
      <c r="G446" s="13">
        <f>SUM(G439:G445)</f>
        <v>0</v>
      </c>
      <c r="H446" s="13">
        <f>SUM(H439:H445)</f>
        <v>0</v>
      </c>
      <c r="I446" s="13">
        <f>SUM(I439:I445)</f>
        <v>3386.27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3386.27</v>
      </c>
      <c r="G459" s="18"/>
      <c r="H459" s="18"/>
      <c r="I459" s="56">
        <f t="shared" si="34"/>
        <v>3386.27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3386.27</v>
      </c>
      <c r="G460" s="83">
        <f>SUM(G454:G459)</f>
        <v>0</v>
      </c>
      <c r="H460" s="83">
        <f>SUM(H454:H459)</f>
        <v>0</v>
      </c>
      <c r="I460" s="83">
        <f>SUM(I454:I459)</f>
        <v>3386.27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3386.27</v>
      </c>
      <c r="G461" s="42">
        <f>G452+G460</f>
        <v>0</v>
      </c>
      <c r="H461" s="42">
        <f>H452+H460</f>
        <v>0</v>
      </c>
      <c r="I461" s="42">
        <f>I452+I460</f>
        <v>3386.27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700800.71</v>
      </c>
      <c r="G465" s="18">
        <v>21271.78</v>
      </c>
      <c r="H465" s="18">
        <v>0</v>
      </c>
      <c r="I465" s="18">
        <v>7638.72</v>
      </c>
      <c r="J465" s="18">
        <v>3342.14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13557572.119999999</v>
      </c>
      <c r="G468" s="18">
        <v>249629.29</v>
      </c>
      <c r="H468" s="18">
        <v>491345.14</v>
      </c>
      <c r="I468" s="18">
        <v>724931.44</v>
      </c>
      <c r="J468" s="18">
        <v>44.13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13557572.119999999</v>
      </c>
      <c r="G470" s="53">
        <f>SUM(G468:G469)</f>
        <v>249629.29</v>
      </c>
      <c r="H470" s="53">
        <f>SUM(H468:H469)</f>
        <v>491345.14</v>
      </c>
      <c r="I470" s="53">
        <f>SUM(I468:I469)</f>
        <v>724931.44</v>
      </c>
      <c r="J470" s="53">
        <f>SUM(J468:J469)</f>
        <v>44.13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13160615.34</v>
      </c>
      <c r="G472" s="18">
        <v>248742</v>
      </c>
      <c r="H472" s="18">
        <v>491345.14</v>
      </c>
      <c r="I472" s="18">
        <v>2702113.11</v>
      </c>
      <c r="J472" s="18"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>
        <v>8173.72</v>
      </c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13160615.34</v>
      </c>
      <c r="G474" s="53">
        <f>SUM(G472:G473)</f>
        <v>248742</v>
      </c>
      <c r="H474" s="53">
        <f>SUM(H472:H473)</f>
        <v>491345.14</v>
      </c>
      <c r="I474" s="53">
        <f>SUM(I472:I473)</f>
        <v>2710286.83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1097757.4899999984</v>
      </c>
      <c r="G476" s="53">
        <f>(G465+G470)- G474</f>
        <v>22159.070000000007</v>
      </c>
      <c r="H476" s="53">
        <f>(H465+H470)- H474</f>
        <v>0</v>
      </c>
      <c r="I476" s="53">
        <f>(I465+I470)- I474</f>
        <v>-1977716.6700000002</v>
      </c>
      <c r="J476" s="53">
        <f>(J465+J470)- J474</f>
        <v>3386.27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 t="s">
        <v>913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1046545.13</v>
      </c>
      <c r="G523" s="18">
        <v>654854.31000000006</v>
      </c>
      <c r="H523" s="18">
        <v>638050.5</v>
      </c>
      <c r="I523" s="18">
        <v>12536.79</v>
      </c>
      <c r="J523" s="18">
        <v>8123.24</v>
      </c>
      <c r="K523" s="18">
        <v>585</v>
      </c>
      <c r="L523" s="88">
        <f>SUM(F523:K523)</f>
        <v>2360694.9700000002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1046545.13</v>
      </c>
      <c r="G524" s="108">
        <f t="shared" ref="G524:L524" si="36">SUM(G521:G523)</f>
        <v>654854.31000000006</v>
      </c>
      <c r="H524" s="108">
        <f t="shared" si="36"/>
        <v>638050.5</v>
      </c>
      <c r="I524" s="108">
        <f t="shared" si="36"/>
        <v>12536.79</v>
      </c>
      <c r="J524" s="108">
        <f t="shared" si="36"/>
        <v>8123.24</v>
      </c>
      <c r="K524" s="108">
        <f t="shared" si="36"/>
        <v>585</v>
      </c>
      <c r="L524" s="89">
        <f t="shared" si="36"/>
        <v>2360694.9700000002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146234.26999999999</v>
      </c>
      <c r="G528" s="18">
        <v>81615.03</v>
      </c>
      <c r="H528" s="18">
        <v>90828.42</v>
      </c>
      <c r="I528" s="18">
        <v>1129.4000000000001</v>
      </c>
      <c r="J528" s="18"/>
      <c r="K528" s="18">
        <v>434</v>
      </c>
      <c r="L528" s="88">
        <f>SUM(F528:K528)</f>
        <v>320241.12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146234.26999999999</v>
      </c>
      <c r="G529" s="89">
        <f t="shared" ref="G529:L529" si="37">SUM(G526:G528)</f>
        <v>81615.03</v>
      </c>
      <c r="H529" s="89">
        <f t="shared" si="37"/>
        <v>90828.42</v>
      </c>
      <c r="I529" s="89">
        <f t="shared" si="37"/>
        <v>1129.4000000000001</v>
      </c>
      <c r="J529" s="89">
        <f t="shared" si="37"/>
        <v>0</v>
      </c>
      <c r="K529" s="89">
        <f t="shared" si="37"/>
        <v>434</v>
      </c>
      <c r="L529" s="89">
        <f t="shared" si="37"/>
        <v>320241.12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33535.379999999997</v>
      </c>
      <c r="G533" s="18">
        <v>14895.16</v>
      </c>
      <c r="H533" s="18"/>
      <c r="I533" s="18"/>
      <c r="J533" s="18"/>
      <c r="K533" s="18"/>
      <c r="L533" s="88">
        <f>SUM(F533:K533)</f>
        <v>48430.539999999994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33535.379999999997</v>
      </c>
      <c r="G534" s="89">
        <f t="shared" ref="G534:L534" si="38">SUM(G531:G533)</f>
        <v>14895.16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48430.539999999994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135009.85</v>
      </c>
      <c r="I543" s="18"/>
      <c r="J543" s="18"/>
      <c r="K543" s="18"/>
      <c r="L543" s="88">
        <f>SUM(F543:K543)</f>
        <v>135009.85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135009.85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135009.85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1226314.7799999998</v>
      </c>
      <c r="G545" s="89">
        <f t="shared" ref="G545:L545" si="41">G524+G529+G534+G539+G544</f>
        <v>751364.50000000012</v>
      </c>
      <c r="H545" s="89">
        <f t="shared" si="41"/>
        <v>863888.77</v>
      </c>
      <c r="I545" s="89">
        <f t="shared" si="41"/>
        <v>13666.19</v>
      </c>
      <c r="J545" s="89">
        <f t="shared" si="41"/>
        <v>8123.24</v>
      </c>
      <c r="K545" s="89">
        <f t="shared" si="41"/>
        <v>1019</v>
      </c>
      <c r="L545" s="89">
        <f t="shared" si="41"/>
        <v>2864376.4800000004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2360694.9700000002</v>
      </c>
      <c r="G551" s="87">
        <f>L528</f>
        <v>320241.12</v>
      </c>
      <c r="H551" s="87">
        <f>L533</f>
        <v>48430.539999999994</v>
      </c>
      <c r="I551" s="87">
        <f>L538</f>
        <v>0</v>
      </c>
      <c r="J551" s="87">
        <f>L543</f>
        <v>135009.85</v>
      </c>
      <c r="K551" s="87">
        <f>SUM(F551:J551)</f>
        <v>2864376.4800000004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2360694.9700000002</v>
      </c>
      <c r="G552" s="89">
        <f t="shared" si="42"/>
        <v>320241.12</v>
      </c>
      <c r="H552" s="89">
        <f t="shared" si="42"/>
        <v>48430.539999999994</v>
      </c>
      <c r="I552" s="89">
        <f t="shared" si="42"/>
        <v>0</v>
      </c>
      <c r="J552" s="89">
        <f t="shared" si="42"/>
        <v>135009.85</v>
      </c>
      <c r="K552" s="89">
        <f t="shared" si="42"/>
        <v>2864376.4800000004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>
        <v>151086.22</v>
      </c>
      <c r="I579" s="87">
        <f t="shared" si="47"/>
        <v>151086.22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>
        <v>165060.12</v>
      </c>
      <c r="I583" s="87">
        <f t="shared" si="47"/>
        <v>165060.12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/>
      <c r="I591" s="18"/>
      <c r="J591" s="18">
        <v>373243.84</v>
      </c>
      <c r="K591" s="104">
        <f t="shared" ref="K591:K597" si="48">SUM(H591:J591)</f>
        <v>373243.84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>
        <v>135009.85</v>
      </c>
      <c r="K592" s="104">
        <f t="shared" si="48"/>
        <v>135009.85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>
        <v>83269</v>
      </c>
      <c r="K594" s="104">
        <f t="shared" si="48"/>
        <v>83269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>
        <v>27853.88</v>
      </c>
      <c r="K595" s="104">
        <f t="shared" si="48"/>
        <v>27853.88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619376.57000000007</v>
      </c>
      <c r="K598" s="108">
        <f>SUM(K591:K597)</f>
        <v>619376.57000000007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/>
      <c r="I604" s="18"/>
      <c r="J604" s="18">
        <v>290713.01</v>
      </c>
      <c r="K604" s="104">
        <f>SUM(H604:J604)</f>
        <v>290713.01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290713.01</v>
      </c>
      <c r="K605" s="108">
        <f>SUM(K602:K604)</f>
        <v>290713.01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12710.32</v>
      </c>
      <c r="G613" s="18">
        <v>2578.61</v>
      </c>
      <c r="H613" s="18"/>
      <c r="I613" s="18">
        <v>18480.16</v>
      </c>
      <c r="J613" s="18">
        <v>3510.3</v>
      </c>
      <c r="K613" s="18"/>
      <c r="L613" s="88">
        <f>SUM(F613:K613)</f>
        <v>37279.39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12710.32</v>
      </c>
      <c r="G614" s="108">
        <f t="shared" si="49"/>
        <v>2578.61</v>
      </c>
      <c r="H614" s="108">
        <f t="shared" si="49"/>
        <v>0</v>
      </c>
      <c r="I614" s="108">
        <f t="shared" si="49"/>
        <v>18480.16</v>
      </c>
      <c r="J614" s="108">
        <f t="shared" si="49"/>
        <v>3510.3</v>
      </c>
      <c r="K614" s="108">
        <f t="shared" si="49"/>
        <v>0</v>
      </c>
      <c r="L614" s="89">
        <f t="shared" si="49"/>
        <v>37279.39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1628742.9999999998</v>
      </c>
      <c r="H617" s="109">
        <f>SUM(F52)</f>
        <v>1628743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22173.67</v>
      </c>
      <c r="H618" s="109">
        <f>SUM(G52)</f>
        <v>22173.67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12747.039999999994</v>
      </c>
      <c r="H619" s="109">
        <f>SUM(H52)</f>
        <v>12747.039999999999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-4983.78</v>
      </c>
      <c r="H620" s="109">
        <f>SUM(I52)</f>
        <v>-4983.7800000000279</v>
      </c>
      <c r="I620" s="121" t="s">
        <v>888</v>
      </c>
      <c r="J620" s="109">
        <f>G620-H620</f>
        <v>2.8194335754960775E-11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3386.27</v>
      </c>
      <c r="H621" s="109">
        <f>SUM(J52)</f>
        <v>3386.27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1097757.49</v>
      </c>
      <c r="H622" s="109">
        <f>F476</f>
        <v>1097757.4899999984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22159.07</v>
      </c>
      <c r="H623" s="109">
        <f>G476</f>
        <v>22159.070000000007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-1977716.67</v>
      </c>
      <c r="H625" s="109">
        <f>I476</f>
        <v>-1977716.6700000002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3386.27</v>
      </c>
      <c r="H626" s="109">
        <f>J476</f>
        <v>3386.27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13557572.119999999</v>
      </c>
      <c r="H627" s="104">
        <f>SUM(F468)</f>
        <v>13557572.119999999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249629.28999999998</v>
      </c>
      <c r="H628" s="104">
        <f>SUM(G468)</f>
        <v>249629.29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491345.14</v>
      </c>
      <c r="H629" s="104">
        <f>SUM(H468)</f>
        <v>491345.14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724931.44</v>
      </c>
      <c r="H630" s="104">
        <f>SUM(I468)</f>
        <v>724931.44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44.13</v>
      </c>
      <c r="H631" s="104">
        <f>SUM(J468)</f>
        <v>44.13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13160615.339999998</v>
      </c>
      <c r="H632" s="104">
        <f>SUM(F472)</f>
        <v>13160615.34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491345.14</v>
      </c>
      <c r="H633" s="104">
        <f>SUM(H472)</f>
        <v>491345.14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248742</v>
      </c>
      <c r="H635" s="104">
        <f>SUM(G472)</f>
        <v>248742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2702113.11</v>
      </c>
      <c r="H636" s="104">
        <f>SUM(I472)</f>
        <v>2702113.11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44.129999999999995</v>
      </c>
      <c r="H637" s="164">
        <f>SUM(J468)</f>
        <v>44.13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3386.27</v>
      </c>
      <c r="H639" s="104">
        <f>SUM(F461)</f>
        <v>3386.27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3386.27</v>
      </c>
      <c r="H642" s="104">
        <f>SUM(I461)</f>
        <v>3386.27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44.13</v>
      </c>
      <c r="H644" s="104">
        <f>H408</f>
        <v>44.129999999999995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44.13</v>
      </c>
      <c r="H646" s="104">
        <f>L408</f>
        <v>44.129999999999995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619376.57000000007</v>
      </c>
      <c r="H647" s="104">
        <f>L208+L226+L244</f>
        <v>619376.56999999995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290713.01</v>
      </c>
      <c r="H648" s="104">
        <f>(J257+J338)-(J255+J336)</f>
        <v>290713.01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0</v>
      </c>
      <c r="H649" s="104">
        <f>H598</f>
        <v>0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619376.56999999995</v>
      </c>
      <c r="H651" s="104">
        <f>J598</f>
        <v>619376.57000000007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13690344.1</v>
      </c>
      <c r="I660" s="19">
        <f>SUM(F660:H660)</f>
        <v>13690344.1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152632.9</v>
      </c>
      <c r="I661" s="19">
        <f>SUM(F661:H661)</f>
        <v>152632.9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619826.56999999995</v>
      </c>
      <c r="I662" s="19">
        <f>SUM(F662:H662)</f>
        <v>619826.56999999995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644138.74</v>
      </c>
      <c r="I663" s="19">
        <f>SUM(F663:H663)</f>
        <v>644138.74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12273745.890000001</v>
      </c>
      <c r="I664" s="19">
        <f>I660-SUM(I661:I663)</f>
        <v>12273745.890000001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/>
      <c r="G665" s="248"/>
      <c r="H665" s="248">
        <v>666.59</v>
      </c>
      <c r="I665" s="19">
        <f>SUM(F665:H665)</f>
        <v>666.59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>
        <f>ROUND(H664/H665,2)</f>
        <v>18412.740000000002</v>
      </c>
      <c r="I667" s="19">
        <f>ROUND(I664/I665,2)</f>
        <v>18412.740000000002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5.56</v>
      </c>
      <c r="I670" s="19">
        <f>SUM(F670:H670)</f>
        <v>5.56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>
        <f>ROUND((H664+H669)/(H665+H670),2)</f>
        <v>18260.43</v>
      </c>
      <c r="I672" s="19">
        <f>ROUND((I664+I669)/(I665+I670),2)</f>
        <v>18260.43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Pemi-Baker Regional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3020648.8899999997</v>
      </c>
      <c r="C9" s="229">
        <f>'DOE25'!G197+'DOE25'!G215+'DOE25'!G233+'DOE25'!G276+'DOE25'!G295+'DOE25'!G314</f>
        <v>1616419.4600000002</v>
      </c>
    </row>
    <row r="10" spans="1:3" x14ac:dyDescent="0.2">
      <c r="A10" t="s">
        <v>773</v>
      </c>
      <c r="B10" s="240">
        <v>2902407.89</v>
      </c>
      <c r="C10" s="240">
        <v>1531806.85</v>
      </c>
    </row>
    <row r="11" spans="1:3" x14ac:dyDescent="0.2">
      <c r="A11" t="s">
        <v>774</v>
      </c>
      <c r="B11" s="240">
        <v>108528.26</v>
      </c>
      <c r="C11" s="240">
        <v>83092.179999999993</v>
      </c>
    </row>
    <row r="12" spans="1:3" x14ac:dyDescent="0.2">
      <c r="A12" t="s">
        <v>775</v>
      </c>
      <c r="B12" s="240">
        <v>9712.74</v>
      </c>
      <c r="C12" s="240">
        <v>1520.43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3020648.89</v>
      </c>
      <c r="C13" s="231">
        <f>SUM(C10:C12)</f>
        <v>1616419.46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1046545.13</v>
      </c>
      <c r="C18" s="229">
        <f>'DOE25'!G198+'DOE25'!G216+'DOE25'!G234+'DOE25'!G277+'DOE25'!G296+'DOE25'!G315</f>
        <v>654854.31000000006</v>
      </c>
    </row>
    <row r="19" spans="1:3" x14ac:dyDescent="0.2">
      <c r="A19" t="s">
        <v>773</v>
      </c>
      <c r="B19" s="240">
        <v>514551</v>
      </c>
      <c r="C19" s="240">
        <v>274981.48</v>
      </c>
    </row>
    <row r="20" spans="1:3" x14ac:dyDescent="0.2">
      <c r="A20" t="s">
        <v>774</v>
      </c>
      <c r="B20" s="240">
        <v>469651.97</v>
      </c>
      <c r="C20" s="240">
        <v>344992.99</v>
      </c>
    </row>
    <row r="21" spans="1:3" x14ac:dyDescent="0.2">
      <c r="A21" t="s">
        <v>775</v>
      </c>
      <c r="B21" s="240">
        <v>62342.16</v>
      </c>
      <c r="C21" s="240">
        <v>34879.839999999997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1046545.13</v>
      </c>
      <c r="C22" s="231">
        <f>SUM(C19:C21)</f>
        <v>654854.30999999994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275359.2</v>
      </c>
      <c r="C27" s="234">
        <f>'DOE25'!G199+'DOE25'!G217+'DOE25'!G235+'DOE25'!G278+'DOE25'!G297+'DOE25'!G316</f>
        <v>139787.07</v>
      </c>
    </row>
    <row r="28" spans="1:3" x14ac:dyDescent="0.2">
      <c r="A28" t="s">
        <v>773</v>
      </c>
      <c r="B28" s="240">
        <v>275359.2</v>
      </c>
      <c r="C28" s="240">
        <v>139787.07</v>
      </c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275359.2</v>
      </c>
      <c r="C31" s="231">
        <f>SUM(C28:C30)</f>
        <v>139787.07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283704.01</v>
      </c>
      <c r="C36" s="235">
        <f>'DOE25'!G200+'DOE25'!G218+'DOE25'!G236+'DOE25'!G279+'DOE25'!G298+'DOE25'!G317</f>
        <v>59685.94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283704.01</v>
      </c>
      <c r="C39" s="240">
        <v>59685.94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283704.01</v>
      </c>
      <c r="C40" s="231">
        <f>SUM(C37:C39)</f>
        <v>59685.94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Pemi-Baker Regional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8076215.1099999994</v>
      </c>
      <c r="D5" s="20">
        <f>SUM('DOE25'!L197:L200)+SUM('DOE25'!L215:L218)+SUM('DOE25'!L233:L236)-F5-G5</f>
        <v>7880747.7899999991</v>
      </c>
      <c r="E5" s="243"/>
      <c r="F5" s="255">
        <f>SUM('DOE25'!J197:J200)+SUM('DOE25'!J215:J218)+SUM('DOE25'!J233:J236)</f>
        <v>182492.31999999998</v>
      </c>
      <c r="G5" s="53">
        <f>SUM('DOE25'!K197:K200)+SUM('DOE25'!K215:K218)+SUM('DOE25'!K233:K236)</f>
        <v>12975</v>
      </c>
      <c r="H5" s="259"/>
    </row>
    <row r="6" spans="1:9" x14ac:dyDescent="0.2">
      <c r="A6" s="32">
        <v>2100</v>
      </c>
      <c r="B6" t="s">
        <v>795</v>
      </c>
      <c r="C6" s="245">
        <f t="shared" si="0"/>
        <v>1053042.82</v>
      </c>
      <c r="D6" s="20">
        <f>'DOE25'!L202+'DOE25'!L220+'DOE25'!L238-F6-G6</f>
        <v>1051372.03</v>
      </c>
      <c r="E6" s="243"/>
      <c r="F6" s="255">
        <f>'DOE25'!J202+'DOE25'!J220+'DOE25'!J238</f>
        <v>118.79</v>
      </c>
      <c r="G6" s="53">
        <f>'DOE25'!K202+'DOE25'!K220+'DOE25'!K238</f>
        <v>1552</v>
      </c>
      <c r="H6" s="259"/>
    </row>
    <row r="7" spans="1:9" x14ac:dyDescent="0.2">
      <c r="A7" s="32">
        <v>2200</v>
      </c>
      <c r="B7" t="s">
        <v>828</v>
      </c>
      <c r="C7" s="245">
        <f t="shared" si="0"/>
        <v>314919.02</v>
      </c>
      <c r="D7" s="20">
        <f>'DOE25'!L203+'DOE25'!L221+'DOE25'!L239-F7-G7</f>
        <v>314409.56</v>
      </c>
      <c r="E7" s="243"/>
      <c r="F7" s="255">
        <f>'DOE25'!J203+'DOE25'!J221+'DOE25'!J239</f>
        <v>509.46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730227.54</v>
      </c>
      <c r="D8" s="243"/>
      <c r="E8" s="20">
        <f>'DOE25'!L204+'DOE25'!L222+'DOE25'!L240-F8-G8-D9-D11</f>
        <v>726068.56</v>
      </c>
      <c r="F8" s="255">
        <f>'DOE25'!J204+'DOE25'!J222+'DOE25'!J240</f>
        <v>0</v>
      </c>
      <c r="G8" s="53">
        <f>'DOE25'!K204+'DOE25'!K222+'DOE25'!K240</f>
        <v>4158.9799999999996</v>
      </c>
      <c r="H8" s="259"/>
    </row>
    <row r="9" spans="1:9" x14ac:dyDescent="0.2">
      <c r="A9" s="32">
        <v>2310</v>
      </c>
      <c r="B9" t="s">
        <v>812</v>
      </c>
      <c r="C9" s="245">
        <f t="shared" si="0"/>
        <v>41836.83</v>
      </c>
      <c r="D9" s="244">
        <v>41836.83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7000</v>
      </c>
      <c r="D10" s="243"/>
      <c r="E10" s="244">
        <v>7000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175907.35</v>
      </c>
      <c r="D11" s="244">
        <v>175907.35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625391.61999999988</v>
      </c>
      <c r="D12" s="20">
        <f>'DOE25'!L205+'DOE25'!L223+'DOE25'!L241-F12-G12</f>
        <v>607640.62999999989</v>
      </c>
      <c r="E12" s="243"/>
      <c r="F12" s="255">
        <f>'DOE25'!J205+'DOE25'!J223+'DOE25'!J241</f>
        <v>0</v>
      </c>
      <c r="G12" s="53">
        <f>'DOE25'!K205+'DOE25'!K223+'DOE25'!K241</f>
        <v>17750.990000000002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1429.73</v>
      </c>
      <c r="D13" s="243"/>
      <c r="E13" s="20">
        <f>'DOE25'!L206+'DOE25'!L224+'DOE25'!L242-F13-G13</f>
        <v>1429.73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1311910.3699999999</v>
      </c>
      <c r="D14" s="20">
        <f>'DOE25'!L207+'DOE25'!L225+'DOE25'!L243-F14-G14</f>
        <v>1300086.24</v>
      </c>
      <c r="E14" s="243"/>
      <c r="F14" s="255">
        <f>'DOE25'!J207+'DOE25'!J225+'DOE25'!J243</f>
        <v>11824.13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619376.56999999995</v>
      </c>
      <c r="D15" s="20">
        <f>'DOE25'!L208+'DOE25'!L226+'DOE25'!L244-F15-G15</f>
        <v>619376.56999999995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38066.949999999997</v>
      </c>
      <c r="D22" s="243"/>
      <c r="E22" s="243"/>
      <c r="F22" s="255">
        <f>'DOE25'!L255+'DOE25'!L336</f>
        <v>38066.949999999997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172291.43</v>
      </c>
      <c r="D25" s="243"/>
      <c r="E25" s="243"/>
      <c r="F25" s="258"/>
      <c r="G25" s="256"/>
      <c r="H25" s="257">
        <f>'DOE25'!L260+'DOE25'!L261+'DOE25'!L341+'DOE25'!L342</f>
        <v>172291.43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248742</v>
      </c>
      <c r="D29" s="20">
        <f>'DOE25'!L358+'DOE25'!L359+'DOE25'!L360-'DOE25'!I367-F29-G29</f>
        <v>248742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491345.14</v>
      </c>
      <c r="D31" s="20">
        <f>'DOE25'!L290+'DOE25'!L309+'DOE25'!L328+'DOE25'!L333+'DOE25'!L334+'DOE25'!L335-F31-G31</f>
        <v>369725.77</v>
      </c>
      <c r="E31" s="243"/>
      <c r="F31" s="255">
        <f>'DOE25'!J290+'DOE25'!J309+'DOE25'!J328+'DOE25'!J333+'DOE25'!J334+'DOE25'!J335</f>
        <v>95768.31</v>
      </c>
      <c r="G31" s="53">
        <f>'DOE25'!K290+'DOE25'!K309+'DOE25'!K328+'DOE25'!K333+'DOE25'!K334+'DOE25'!K335</f>
        <v>25851.06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12609844.769999998</v>
      </c>
      <c r="E33" s="246">
        <f>SUM(E5:E31)</f>
        <v>734498.29</v>
      </c>
      <c r="F33" s="246">
        <f>SUM(F5:F31)</f>
        <v>328779.95999999996</v>
      </c>
      <c r="G33" s="246">
        <f>SUM(G5:G31)</f>
        <v>62288.03</v>
      </c>
      <c r="H33" s="246">
        <f>SUM(H5:H31)</f>
        <v>172291.43</v>
      </c>
    </row>
    <row r="35" spans="2:8" ht="12" thickBot="1" x14ac:dyDescent="0.25">
      <c r="B35" s="253" t="s">
        <v>841</v>
      </c>
      <c r="D35" s="254">
        <f>E33</f>
        <v>734498.29</v>
      </c>
      <c r="E35" s="249"/>
    </row>
    <row r="36" spans="2:8" ht="12" thickTop="1" x14ac:dyDescent="0.2">
      <c r="B36" t="s">
        <v>809</v>
      </c>
      <c r="D36" s="20">
        <f>D33</f>
        <v>12609844.769999998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Pemi-Baker Regional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1527280.79</v>
      </c>
      <c r="D8" s="95">
        <f>'DOE25'!G9</f>
        <v>-55610.39</v>
      </c>
      <c r="E8" s="95">
        <f>'DOE25'!H9</f>
        <v>-88225.49</v>
      </c>
      <c r="F8" s="95">
        <f>'DOE25'!I9</f>
        <v>-4983.78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3386.27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70878.149999999994</v>
      </c>
      <c r="D12" s="95">
        <f>'DOE25'!G13</f>
        <v>24392.61</v>
      </c>
      <c r="E12" s="95">
        <f>'DOE25'!H13</f>
        <v>100972.53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2416.16</v>
      </c>
      <c r="D13" s="95">
        <f>'DOE25'!G14</f>
        <v>53391.45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28167.9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1628742.9999999998</v>
      </c>
      <c r="D18" s="41">
        <f>SUM(D8:D17)</f>
        <v>22173.67</v>
      </c>
      <c r="E18" s="41">
        <f>SUM(E8:E17)</f>
        <v>12747.039999999994</v>
      </c>
      <c r="F18" s="41">
        <f>SUM(F8:F17)</f>
        <v>-4983.78</v>
      </c>
      <c r="G18" s="41">
        <f>SUM(G8:G17)</f>
        <v>3386.27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530985.51</v>
      </c>
      <c r="D23" s="95">
        <f>'DOE25'!G24</f>
        <v>14.6</v>
      </c>
      <c r="E23" s="95">
        <f>'DOE25'!H24</f>
        <v>11971.88</v>
      </c>
      <c r="F23" s="95">
        <f>'DOE25'!I24</f>
        <v>802620.57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1163826.1000000001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775.16</v>
      </c>
      <c r="F29" s="95">
        <f>'DOE25'!I30</f>
        <v>6286.22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530985.51</v>
      </c>
      <c r="D31" s="41">
        <f>SUM(D21:D30)</f>
        <v>14.6</v>
      </c>
      <c r="E31" s="41">
        <f>SUM(E21:E30)</f>
        <v>12747.039999999999</v>
      </c>
      <c r="F31" s="41">
        <f>SUM(F21:F30)</f>
        <v>1972732.89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672299.68</v>
      </c>
      <c r="D44" s="95">
        <f>'DOE25'!G45</f>
        <v>0</v>
      </c>
      <c r="E44" s="95">
        <f>'DOE25'!H45</f>
        <v>18649.79</v>
      </c>
      <c r="F44" s="95">
        <f>'DOE25'!I45</f>
        <v>680056.75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100000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22159.07</v>
      </c>
      <c r="E47" s="95">
        <f>'DOE25'!H48</f>
        <v>-18649.79</v>
      </c>
      <c r="F47" s="95">
        <f>'DOE25'!I48</f>
        <v>-2657773.42</v>
      </c>
      <c r="G47" s="95">
        <f>'DOE25'!J48</f>
        <v>3386.27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325457.81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1097757.49</v>
      </c>
      <c r="D50" s="41">
        <f>SUM(D34:D49)</f>
        <v>22159.07</v>
      </c>
      <c r="E50" s="41">
        <f>SUM(E34:E49)</f>
        <v>0</v>
      </c>
      <c r="F50" s="41">
        <f>SUM(F34:F49)</f>
        <v>-1977716.67</v>
      </c>
      <c r="G50" s="41">
        <f>SUM(G34:G49)</f>
        <v>3386.27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1628743</v>
      </c>
      <c r="D51" s="41">
        <f>D50+D31</f>
        <v>22173.67</v>
      </c>
      <c r="E51" s="41">
        <f>E50+E31</f>
        <v>12747.039999999999</v>
      </c>
      <c r="F51" s="41">
        <f>F50+F31</f>
        <v>-4983.7800000000279</v>
      </c>
      <c r="G51" s="41">
        <f>G50+G31</f>
        <v>3386.27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8338392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549669.77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1958.13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44.13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152632.9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79923.399999999994</v>
      </c>
      <c r="D61" s="95">
        <f>SUM('DOE25'!G98:G110)</f>
        <v>0</v>
      </c>
      <c r="E61" s="95">
        <f>SUM('DOE25'!H98:H110)</f>
        <v>0</v>
      </c>
      <c r="F61" s="95">
        <f>SUM('DOE25'!I98:I110)</f>
        <v>9992.5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631551.30000000005</v>
      </c>
      <c r="D62" s="130">
        <f>SUM(D57:D61)</f>
        <v>152632.9</v>
      </c>
      <c r="E62" s="130">
        <f>SUM(E57:E61)</f>
        <v>0</v>
      </c>
      <c r="F62" s="130">
        <f>SUM(F57:F61)</f>
        <v>9992.5</v>
      </c>
      <c r="G62" s="130">
        <f>SUM(G57:G61)</f>
        <v>44.13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8969943.3000000007</v>
      </c>
      <c r="D63" s="22">
        <f>D56+D62</f>
        <v>152632.9</v>
      </c>
      <c r="E63" s="22">
        <f>E56+E62</f>
        <v>0</v>
      </c>
      <c r="F63" s="22">
        <f>F56+F62</f>
        <v>9992.5</v>
      </c>
      <c r="G63" s="22">
        <f>G56+G62</f>
        <v>44.13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2307688.98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1758767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4066455.98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343714.01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34582.699999999997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23112.58</v>
      </c>
      <c r="D77" s="95">
        <f>SUM('DOE25'!G131:G135)</f>
        <v>3160.27</v>
      </c>
      <c r="E77" s="95">
        <f>SUM('DOE25'!H131:H135)</f>
        <v>0</v>
      </c>
      <c r="F77" s="95">
        <f>SUM('DOE25'!I131:I135)</f>
        <v>714938.94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401409.29000000004</v>
      </c>
      <c r="D78" s="130">
        <f>SUM(D72:D77)</f>
        <v>3160.27</v>
      </c>
      <c r="E78" s="130">
        <f>SUM(E72:E77)</f>
        <v>0</v>
      </c>
      <c r="F78" s="130">
        <f>SUM(F72:F77)</f>
        <v>714938.94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4467865.2699999996</v>
      </c>
      <c r="D81" s="130">
        <f>SUM(D79:D80)+D78+D70</f>
        <v>3160.27</v>
      </c>
      <c r="E81" s="130">
        <f>SUM(E79:E80)+E78+E70</f>
        <v>0</v>
      </c>
      <c r="F81" s="130">
        <f>SUM(F79:F80)+F78+F70</f>
        <v>714938.94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119763.55</v>
      </c>
      <c r="D88" s="95">
        <f>SUM('DOE25'!G153:G161)</f>
        <v>93836.12</v>
      </c>
      <c r="E88" s="95">
        <f>SUM('DOE25'!H153:H161)</f>
        <v>491345.14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119763.55</v>
      </c>
      <c r="D91" s="131">
        <f>SUM(D85:D90)</f>
        <v>93836.12</v>
      </c>
      <c r="E91" s="131">
        <f>SUM(E85:E90)</f>
        <v>491345.14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13557572.120000001</v>
      </c>
      <c r="D104" s="86">
        <f>D63+D81+D91+D103</f>
        <v>249629.28999999998</v>
      </c>
      <c r="E104" s="86">
        <f>E63+E81+E91+E103</f>
        <v>491345.14</v>
      </c>
      <c r="F104" s="86">
        <f>F63+F81+F91+F103</f>
        <v>724931.44</v>
      </c>
      <c r="G104" s="86">
        <f>G63+G81+G103</f>
        <v>44.13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4737352.47</v>
      </c>
      <c r="D109" s="24" t="s">
        <v>286</v>
      </c>
      <c r="E109" s="95">
        <f>('DOE25'!L276)+('DOE25'!L295)+('DOE25'!L314)</f>
        <v>275345.61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2360694.9700000002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451410.12</v>
      </c>
      <c r="D111" s="24" t="s">
        <v>286</v>
      </c>
      <c r="E111" s="95">
        <f>('DOE25'!L278)+('DOE25'!L297)+('DOE25'!L316)</f>
        <v>109545.43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526757.55000000005</v>
      </c>
      <c r="D112" s="24" t="s">
        <v>286</v>
      </c>
      <c r="E112" s="95">
        <f>+('DOE25'!L279)+('DOE25'!L298)+('DOE25'!L317)</f>
        <v>39144.020000000004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8076215.1099999994</v>
      </c>
      <c r="D115" s="86">
        <f>SUM(D109:D114)</f>
        <v>0</v>
      </c>
      <c r="E115" s="86">
        <f>SUM(E109:E114)</f>
        <v>424035.06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1053042.82</v>
      </c>
      <c r="D118" s="24" t="s">
        <v>286</v>
      </c>
      <c r="E118" s="95">
        <f>+('DOE25'!L281)+('DOE25'!L300)+('DOE25'!L319)</f>
        <v>11920.08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314919.02</v>
      </c>
      <c r="D119" s="24" t="s">
        <v>286</v>
      </c>
      <c r="E119" s="95">
        <f>+('DOE25'!L282)+('DOE25'!L301)+('DOE25'!L320)</f>
        <v>9503.67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947971.72</v>
      </c>
      <c r="D120" s="24" t="s">
        <v>286</v>
      </c>
      <c r="E120" s="95">
        <f>+('DOE25'!L283)+('DOE25'!L302)+('DOE25'!L321)</f>
        <v>16740.080000000002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625391.61999999988</v>
      </c>
      <c r="D121" s="24" t="s">
        <v>286</v>
      </c>
      <c r="E121" s="95">
        <f>+('DOE25'!L284)+('DOE25'!L303)+('DOE25'!L322)</f>
        <v>11668.48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1429.73</v>
      </c>
      <c r="D122" s="24" t="s">
        <v>286</v>
      </c>
      <c r="E122" s="95">
        <f>+('DOE25'!L285)+('DOE25'!L304)+('DOE25'!L323)</f>
        <v>17027.77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1311910.3699999999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619376.56999999995</v>
      </c>
      <c r="D124" s="24" t="s">
        <v>286</v>
      </c>
      <c r="E124" s="95">
        <f>+('DOE25'!L287)+('DOE25'!L306)+('DOE25'!L325)</f>
        <v>450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248742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4874041.8499999996</v>
      </c>
      <c r="D128" s="86">
        <f>SUM(D118:D127)</f>
        <v>248742</v>
      </c>
      <c r="E128" s="86">
        <f>SUM(E118:E127)</f>
        <v>67310.080000000002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38066.949999999997</v>
      </c>
      <c r="D130" s="24" t="s">
        <v>286</v>
      </c>
      <c r="E130" s="129">
        <f>'DOE25'!L336</f>
        <v>0</v>
      </c>
      <c r="F130" s="129">
        <f>SUM('DOE25'!L374:'DOE25'!L380)</f>
        <v>2702113.11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86460.93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85830.5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21.54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22.59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-44.129999999999995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210358.38</v>
      </c>
      <c r="D144" s="141">
        <f>SUM(D130:D143)</f>
        <v>0</v>
      </c>
      <c r="E144" s="141">
        <f>SUM(E130:E143)</f>
        <v>0</v>
      </c>
      <c r="F144" s="141">
        <f>SUM(F130:F143)</f>
        <v>2702113.11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13160615.34</v>
      </c>
      <c r="D145" s="86">
        <f>(D115+D128+D144)</f>
        <v>248742</v>
      </c>
      <c r="E145" s="86">
        <f>(E115+E128+E144)</f>
        <v>491345.14</v>
      </c>
      <c r="F145" s="86">
        <f>(F115+F128+F144)</f>
        <v>2702113.11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Pemi-Baker Regional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18260</v>
      </c>
    </row>
    <row r="7" spans="1:4" x14ac:dyDescent="0.2">
      <c r="B7" t="s">
        <v>699</v>
      </c>
      <c r="C7" s="179">
        <f>IF('DOE25'!I665+'DOE25'!I670=0,0,ROUND('DOE25'!I672,0))</f>
        <v>18260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5012698</v>
      </c>
      <c r="D10" s="182">
        <f>ROUND((C10/$C$28)*100,1)</f>
        <v>36.799999999999997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2360695</v>
      </c>
      <c r="D11" s="182">
        <f>ROUND((C11/$C$28)*100,1)</f>
        <v>17.3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560956</v>
      </c>
      <c r="D12" s="182">
        <f>ROUND((C12/$C$28)*100,1)</f>
        <v>4.0999999999999996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565902</v>
      </c>
      <c r="D13" s="182">
        <f>ROUND((C13/$C$28)*100,1)</f>
        <v>4.2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1064963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324423</v>
      </c>
      <c r="D16" s="182">
        <f t="shared" si="0"/>
        <v>2.4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964712</v>
      </c>
      <c r="D17" s="182">
        <f t="shared" si="0"/>
        <v>7.1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637060</v>
      </c>
      <c r="D18" s="182">
        <f t="shared" si="0"/>
        <v>4.7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18458</v>
      </c>
      <c r="D19" s="182">
        <f t="shared" si="0"/>
        <v>0.1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1311910</v>
      </c>
      <c r="D20" s="182">
        <f t="shared" si="0"/>
        <v>9.6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619827</v>
      </c>
      <c r="D21" s="182">
        <f t="shared" si="0"/>
        <v>4.5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85831</v>
      </c>
      <c r="D25" s="182">
        <f t="shared" si="0"/>
        <v>0.6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96109.1</v>
      </c>
      <c r="D27" s="182">
        <f t="shared" si="0"/>
        <v>0.7</v>
      </c>
    </row>
    <row r="28" spans="1:4" x14ac:dyDescent="0.2">
      <c r="B28" s="187" t="s">
        <v>717</v>
      </c>
      <c r="C28" s="180">
        <f>SUM(C10:C27)</f>
        <v>13623544.1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2740180</v>
      </c>
    </row>
    <row r="30" spans="1:4" x14ac:dyDescent="0.2">
      <c r="B30" s="187" t="s">
        <v>723</v>
      </c>
      <c r="C30" s="180">
        <f>SUM(C28:C29)</f>
        <v>16363724.1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86461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8338392</v>
      </c>
      <c r="D35" s="182">
        <f t="shared" ref="D35:D40" si="1">ROUND((C35/$C$41)*100,1)</f>
        <v>56.1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641587.9299999997</v>
      </c>
      <c r="D36" s="182">
        <f t="shared" si="1"/>
        <v>4.3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4066456</v>
      </c>
      <c r="D37" s="182">
        <f t="shared" si="1"/>
        <v>27.3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1119509</v>
      </c>
      <c r="D38" s="182">
        <f t="shared" si="1"/>
        <v>7.5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704945</v>
      </c>
      <c r="D39" s="182">
        <f t="shared" si="1"/>
        <v>4.7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14870889.93</v>
      </c>
      <c r="D41" s="184">
        <f>SUM(D35:D40)</f>
        <v>99.9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Pemi-Baker Regional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2018-10-04T19:19:24Z</cp:lastPrinted>
  <dcterms:created xsi:type="dcterms:W3CDTF">1997-12-04T19:04:30Z</dcterms:created>
  <dcterms:modified xsi:type="dcterms:W3CDTF">2018-12-03T19:51:30Z</dcterms:modified>
</cp:coreProperties>
</file>