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19200" windowHeight="73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B37" i="12" l="1"/>
  <c r="H400" i="1"/>
  <c r="J96" i="1"/>
  <c r="H521" i="1"/>
  <c r="J468" i="1"/>
  <c r="J465" i="1"/>
  <c r="F367" i="1"/>
  <c r="H358" i="1"/>
  <c r="H282" i="1"/>
  <c r="K240" i="1"/>
  <c r="K205" i="1" l="1"/>
  <c r="H240" i="1"/>
  <c r="H209" i="1"/>
  <c r="H207" i="1"/>
  <c r="H204" i="1"/>
  <c r="J203" i="1"/>
  <c r="H203" i="1"/>
  <c r="I202" i="1"/>
  <c r="H202" i="1"/>
  <c r="H198" i="1"/>
  <c r="K197" i="1"/>
  <c r="H197" i="1"/>
  <c r="H102" i="1"/>
  <c r="G97" i="1"/>
  <c r="F96" i="1"/>
  <c r="G12" i="1"/>
  <c r="F24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C110" i="2" s="1"/>
  <c r="L199" i="1"/>
  <c r="L200" i="1"/>
  <c r="C112" i="2" s="1"/>
  <c r="L215" i="1"/>
  <c r="L216" i="1"/>
  <c r="L229" i="1" s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H662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G661" i="1" s="1"/>
  <c r="L359" i="1"/>
  <c r="D127" i="2" s="1"/>
  <c r="D128" i="2" s="1"/>
  <c r="L360" i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E112" i="2" s="1"/>
  <c r="L281" i="1"/>
  <c r="E118" i="2" s="1"/>
  <c r="L282" i="1"/>
  <c r="L283" i="1"/>
  <c r="L284" i="1"/>
  <c r="E121" i="2" s="1"/>
  <c r="L285" i="1"/>
  <c r="E122" i="2" s="1"/>
  <c r="L286" i="1"/>
  <c r="L287" i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C29" i="10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I147" i="1"/>
  <c r="I162" i="1"/>
  <c r="C11" i="10"/>
  <c r="L250" i="1"/>
  <c r="L332" i="1"/>
  <c r="L254" i="1"/>
  <c r="L268" i="1"/>
  <c r="L269" i="1"/>
  <c r="C143" i="2" s="1"/>
  <c r="L349" i="1"/>
  <c r="C26" i="10" s="1"/>
  <c r="L350" i="1"/>
  <c r="I665" i="1"/>
  <c r="I670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C114" i="2"/>
  <c r="D115" i="2"/>
  <c r="F115" i="2"/>
  <c r="G115" i="2"/>
  <c r="E119" i="2"/>
  <c r="E120" i="2"/>
  <c r="C123" i="2"/>
  <c r="E123" i="2"/>
  <c r="E124" i="2"/>
  <c r="C125" i="2"/>
  <c r="F128" i="2"/>
  <c r="G128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57" i="1"/>
  <c r="F271" i="1" s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F461" i="1"/>
  <c r="G461" i="1"/>
  <c r="H640" i="1" s="1"/>
  <c r="H461" i="1"/>
  <c r="F470" i="1"/>
  <c r="G470" i="1"/>
  <c r="H470" i="1"/>
  <c r="I470" i="1"/>
  <c r="I476" i="1" s="1"/>
  <c r="H625" i="1" s="1"/>
  <c r="J470" i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J639" i="1" s="1"/>
  <c r="H639" i="1"/>
  <c r="G641" i="1"/>
  <c r="J641" i="1" s="1"/>
  <c r="H641" i="1"/>
  <c r="G643" i="1"/>
  <c r="J643" i="1" s="1"/>
  <c r="H643" i="1"/>
  <c r="G644" i="1"/>
  <c r="G645" i="1"/>
  <c r="G650" i="1"/>
  <c r="G652" i="1"/>
  <c r="H652" i="1"/>
  <c r="G653" i="1"/>
  <c r="H653" i="1"/>
  <c r="G654" i="1"/>
  <c r="H654" i="1"/>
  <c r="H655" i="1"/>
  <c r="J655" i="1" s="1"/>
  <c r="L328" i="1"/>
  <c r="A31" i="12"/>
  <c r="D18" i="2"/>
  <c r="D50" i="2"/>
  <c r="G156" i="2"/>
  <c r="D91" i="2"/>
  <c r="G62" i="2"/>
  <c r="D19" i="13"/>
  <c r="C19" i="13" s="1"/>
  <c r="E78" i="2"/>
  <c r="E81" i="2" s="1"/>
  <c r="K605" i="1"/>
  <c r="G648" i="1" s="1"/>
  <c r="J571" i="1"/>
  <c r="I169" i="1"/>
  <c r="J476" i="1"/>
  <c r="H626" i="1" s="1"/>
  <c r="F476" i="1"/>
  <c r="H622" i="1" s="1"/>
  <c r="G338" i="1"/>
  <c r="G352" i="1" s="1"/>
  <c r="F169" i="1"/>
  <c r="J140" i="1"/>
  <c r="G22" i="2"/>
  <c r="H552" i="1"/>
  <c r="H140" i="1"/>
  <c r="H25" i="13"/>
  <c r="C25" i="13" s="1"/>
  <c r="H571" i="1"/>
  <c r="F338" i="1"/>
  <c r="F352" i="1" s="1"/>
  <c r="H192" i="1"/>
  <c r="E16" i="13"/>
  <c r="L570" i="1"/>
  <c r="I571" i="1"/>
  <c r="G36" i="2"/>
  <c r="L565" i="1"/>
  <c r="K551" i="1"/>
  <c r="K598" i="1" l="1"/>
  <c r="G647" i="1" s="1"/>
  <c r="I545" i="1"/>
  <c r="H545" i="1"/>
  <c r="F552" i="1"/>
  <c r="G545" i="1"/>
  <c r="H476" i="1"/>
  <c r="H624" i="1" s="1"/>
  <c r="J624" i="1" s="1"/>
  <c r="J640" i="1"/>
  <c r="I460" i="1"/>
  <c r="I461" i="1" s="1"/>
  <c r="H642" i="1" s="1"/>
  <c r="J645" i="1"/>
  <c r="L401" i="1"/>
  <c r="C139" i="2" s="1"/>
  <c r="J644" i="1"/>
  <c r="I369" i="1"/>
  <c r="H634" i="1" s="1"/>
  <c r="J634" i="1"/>
  <c r="L362" i="1"/>
  <c r="C27" i="10" s="1"/>
  <c r="H661" i="1"/>
  <c r="C16" i="10"/>
  <c r="L427" i="1"/>
  <c r="L270" i="1"/>
  <c r="C21" i="10"/>
  <c r="G651" i="1"/>
  <c r="J651" i="1" s="1"/>
  <c r="I257" i="1"/>
  <c r="G257" i="1"/>
  <c r="G271" i="1" s="1"/>
  <c r="C12" i="10"/>
  <c r="L247" i="1"/>
  <c r="D14" i="13"/>
  <c r="C14" i="13" s="1"/>
  <c r="D12" i="13"/>
  <c r="C12" i="13" s="1"/>
  <c r="C18" i="10"/>
  <c r="C17" i="10"/>
  <c r="E8" i="13"/>
  <c r="C8" i="13" s="1"/>
  <c r="C119" i="2"/>
  <c r="D7" i="13"/>
  <c r="C7" i="13" s="1"/>
  <c r="K257" i="1"/>
  <c r="K271" i="1" s="1"/>
  <c r="A40" i="12"/>
  <c r="L211" i="1"/>
  <c r="C109" i="2"/>
  <c r="H257" i="1"/>
  <c r="H271" i="1" s="1"/>
  <c r="D5" i="13"/>
  <c r="C5" i="13" s="1"/>
  <c r="H112" i="1"/>
  <c r="H169" i="1"/>
  <c r="C91" i="2"/>
  <c r="F112" i="1"/>
  <c r="D31" i="2"/>
  <c r="J622" i="1"/>
  <c r="J617" i="1"/>
  <c r="C18" i="2"/>
  <c r="E128" i="2"/>
  <c r="C16" i="13"/>
  <c r="H33" i="13"/>
  <c r="E109" i="2"/>
  <c r="E115" i="2" s="1"/>
  <c r="C62" i="2"/>
  <c r="E57" i="2"/>
  <c r="E62" i="2" s="1"/>
  <c r="E63" i="2" s="1"/>
  <c r="F661" i="1"/>
  <c r="C19" i="10"/>
  <c r="C15" i="10"/>
  <c r="C10" i="10"/>
  <c r="K549" i="1"/>
  <c r="K552" i="1" s="1"/>
  <c r="E13" i="13"/>
  <c r="C13" i="13" s="1"/>
  <c r="D6" i="13"/>
  <c r="C6" i="13" s="1"/>
  <c r="D15" i="13"/>
  <c r="C15" i="13" s="1"/>
  <c r="G649" i="1"/>
  <c r="J649" i="1" s="1"/>
  <c r="L544" i="1"/>
  <c r="L524" i="1"/>
  <c r="J338" i="1"/>
  <c r="J352" i="1" s="1"/>
  <c r="E130" i="2"/>
  <c r="C124" i="2"/>
  <c r="C120" i="2"/>
  <c r="C111" i="2"/>
  <c r="C115" i="2" s="1"/>
  <c r="C56" i="2"/>
  <c r="F662" i="1"/>
  <c r="I662" i="1" s="1"/>
  <c r="C13" i="10"/>
  <c r="H660" i="1"/>
  <c r="D145" i="2"/>
  <c r="C78" i="2"/>
  <c r="C81" i="2" s="1"/>
  <c r="F22" i="13"/>
  <c r="C22" i="13" s="1"/>
  <c r="D29" i="13"/>
  <c r="C29" i="13" s="1"/>
  <c r="I271" i="1"/>
  <c r="L539" i="1"/>
  <c r="K503" i="1"/>
  <c r="L382" i="1"/>
  <c r="G636" i="1" s="1"/>
  <c r="J636" i="1" s="1"/>
  <c r="K352" i="1"/>
  <c r="L351" i="1"/>
  <c r="H647" i="1"/>
  <c r="J647" i="1" s="1"/>
  <c r="G625" i="1"/>
  <c r="J625" i="1" s="1"/>
  <c r="L614" i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J618" i="1"/>
  <c r="G667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J652" i="1"/>
  <c r="J642" i="1"/>
  <c r="G571" i="1"/>
  <c r="I434" i="1"/>
  <c r="G434" i="1"/>
  <c r="I663" i="1"/>
  <c r="L408" i="1" l="1"/>
  <c r="C141" i="2"/>
  <c r="C144" i="2" s="1"/>
  <c r="G635" i="1"/>
  <c r="J635" i="1" s="1"/>
  <c r="H664" i="1"/>
  <c r="H667" i="1" s="1"/>
  <c r="E145" i="2"/>
  <c r="L257" i="1"/>
  <c r="L271" i="1" s="1"/>
  <c r="G632" i="1" s="1"/>
  <c r="J632" i="1" s="1"/>
  <c r="E33" i="13"/>
  <c r="D35" i="13" s="1"/>
  <c r="C128" i="2"/>
  <c r="F660" i="1"/>
  <c r="I660" i="1" s="1"/>
  <c r="C36" i="10"/>
  <c r="E104" i="2"/>
  <c r="F193" i="1"/>
  <c r="G627" i="1" s="1"/>
  <c r="J627" i="1" s="1"/>
  <c r="C63" i="2"/>
  <c r="C104" i="2" s="1"/>
  <c r="L352" i="1"/>
  <c r="G633" i="1" s="1"/>
  <c r="J633" i="1" s="1"/>
  <c r="L545" i="1"/>
  <c r="C28" i="10"/>
  <c r="D23" i="10" s="1"/>
  <c r="I661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G637" i="1"/>
  <c r="J637" i="1" s="1"/>
  <c r="H646" i="1"/>
  <c r="J646" i="1" s="1"/>
  <c r="C145" i="2"/>
  <c r="I664" i="1"/>
  <c r="I672" i="1" s="1"/>
  <c r="C7" i="10" s="1"/>
  <c r="F664" i="1"/>
  <c r="F667" i="1" s="1"/>
  <c r="D26" i="10"/>
  <c r="D25" i="10"/>
  <c r="D21" i="10"/>
  <c r="D13" i="10"/>
  <c r="D24" i="10"/>
  <c r="D10" i="10"/>
  <c r="D15" i="10"/>
  <c r="D12" i="10"/>
  <c r="D20" i="10"/>
  <c r="D11" i="10"/>
  <c r="D22" i="10"/>
  <c r="D27" i="10"/>
  <c r="D18" i="10"/>
  <c r="D17" i="10"/>
  <c r="D19" i="10"/>
  <c r="F672" i="1"/>
  <c r="C4" i="10" s="1"/>
  <c r="C30" i="10"/>
  <c r="D16" i="10"/>
  <c r="C41" i="10"/>
  <c r="D38" i="10" s="1"/>
  <c r="I667" i="1" l="1"/>
  <c r="H656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<sst xmlns="http://schemas.openxmlformats.org/spreadsheetml/2006/main" count="3957" uniqueCount="913">
  <si>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</si>
  <si>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</si>
  <si>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</si>
  <si>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</si>
  <si>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</si>
  <si>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</si>
  <si>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</si>
  <si>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</si>
  <si>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</si>
  <si>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</si>
  <si>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</si>
  <si>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</si>
  <si>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</si>
  <si>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</si>
  <si>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</si>
  <si>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</si>
  <si>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</si>
  <si>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</si>
  <si>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</si>
  <si>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</si>
  <si>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</si>
  <si>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</si>
  <si>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</si>
  <si>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</si>
  <si>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</si>
  <si>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</si>
  <si>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</si>
  <si>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</si>
  <si>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</si>
  <si>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</si>
  <si>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</si>
  <si>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</si>
  <si>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</si>
  <si>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</si>
  <si>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</si>
  <si>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</si>
  <si>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</si>
  <si>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</si>
  <si>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</si>
  <si>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</si>
  <si>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</si>
  <si>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</si>
  <si>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</si>
  <si>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</si>
  <si>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</si>
  <si>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</si>
  <si>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</si>
  <si>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</si>
  <si>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</si>
  <si>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</si>
  <si>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</si>
  <si>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</si>
  <si>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</si>
  <si>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</si>
  <si>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</si>
  <si>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</si>
  <si>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</si>
  <si>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</si>
  <si>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</si>
  <si>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</si>
  <si>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</si>
  <si>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</si>
  <si>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</si>
  <si>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</si>
  <si>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</si>
  <si>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</si>
  <si>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</si>
  <si>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</si>
  <si>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</si>
  <si>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</si>
  <si>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</si>
  <si>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</si>
  <si>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</si>
  <si>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</si>
  <si>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</si>
  <si>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</si>
  <si>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</si>
  <si>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</si>
  <si>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</si>
  <si>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</si>
  <si>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</si>
  <si>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</si>
  <si>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</si>
  <si>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</si>
  <si>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</si>
  <si>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</si>
  <si>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</si>
  <si>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</si>
  <si>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</si>
  <si>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</si>
  <si>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</si>
  <si>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</si>
  <si>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</si>
  <si>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</si>
  <si>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</si>
  <si>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</si>
  <si>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</si>
  <si>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</si>
  <si>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</si>
  <si>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</si>
  <si>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</si>
  <si>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</si>
  <si>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</si>
  <si>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</si>
  <si>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</si>
  <si>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</si>
  <si>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</si>
  <si>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</si>
  <si>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</si>
  <si>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</si>
  <si>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</si>
  <si>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</si>
  <si>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</si>
  <si>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</si>
  <si>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</si>
  <si>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</si>
  <si>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</si>
  <si>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</si>
  <si>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</si>
  <si>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</si>
  <si>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</si>
  <si>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</si>
  <si>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</si>
  <si>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</si>
  <si>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</si>
  <si>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</si>
  <si>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</si>
  <si>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</si>
  <si>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</si>
  <si>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</si>
  <si>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</si>
  <si>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</si>
  <si>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</si>
  <si>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</si>
  <si>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</si>
  <si>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</si>
  <si>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</si>
  <si>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</si>
  <si>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</si>
  <si>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</si>
  <si>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</si>
  <si>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</si>
  <si>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</si>
  <si>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</si>
  <si>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</si>
  <si>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</si>
  <si>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</si>
  <si>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</si>
  <si>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</si>
  <si>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</si>
  <si>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</si>
  <si>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</si>
  <si>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</si>
  <si>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</si>
  <si>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</si>
  <si>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</si>
  <si>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</si>
  <si>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</si>
  <si>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</si>
  <si>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</si>
  <si>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</si>
  <si>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</si>
  <si>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</si>
  <si>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</si>
  <si>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</si>
  <si>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</si>
  <si>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</si>
  <si>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</si>
  <si>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</si>
  <si>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</si>
  <si>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</si>
  <si>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</si>
  <si>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</si>
  <si>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</si>
  <si>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</si>
  <si>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</si>
  <si>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</si>
  <si>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</si>
  <si>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</si>
  <si>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</si>
  <si>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</si>
  <si>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</si>
  <si>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</si>
  <si>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</si>
  <si>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</si>
  <si>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</si>
  <si>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</si>
  <si>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</si>
  <si>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</si>
  <si>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</si>
  <si>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</si>
  <si>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</si>
  <si>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</si>
  <si>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</si>
  <si>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</si>
  <si>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</si>
  <si>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</si>
  <si>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</si>
  <si>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</si>
  <si>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</si>
  <si>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</si>
  <si>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</si>
  <si>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</si>
  <si>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</si>
  <si>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</si>
  <si>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</si>
  <si>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</si>
  <si>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</si>
  <si>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</si>
  <si>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</si>
  <si>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</si>
  <si>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</si>
  <si>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</si>
  <si>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</si>
  <si>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</si>
  <si>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</si>
  <si>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</si>
  <si>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</si>
  <si>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</si>
  <si>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</si>
  <si>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</si>
  <si>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</si>
  <si>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</si>
  <si>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</si>
  <si>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</si>
  <si>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</si>
  <si>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</si>
  <si>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</si>
  <si>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</si>
  <si>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</si>
  <si>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</si>
  <si>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</si>
  <si>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</si>
  <si>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</si>
  <si>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</si>
  <si>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</si>
  <si>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</si>
  <si>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</si>
  <si>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</si>
  <si>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</si>
  <si>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</si>
  <si>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</si>
  <si>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</si>
  <si>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</si>
  <si>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</si>
  <si>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</si>
  <si>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</si>
  <si>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</si>
  <si>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</si>
  <si>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</si>
  <si>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</si>
  <si>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</si>
  <si>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</si>
  <si>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</si>
  <si>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</si>
  <si>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</si>
  <si>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</si>
  <si>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</si>
  <si>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</si>
  <si>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</si>
  <si>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</si>
  <si>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</si>
  <si>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</si>
  <si>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</si>
  <si>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</si>
  <si>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</si>
  <si>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</si>
  <si>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</si>
  <si>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</si>
  <si>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</si>
  <si>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</si>
  <si>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</si>
  <si>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</si>
  <si>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</si>
  <si>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</si>
  <si>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</si>
  <si>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</si>
  <si>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</si>
  <si>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</si>
  <si>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</si>
  <si>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</si>
  <si>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</si>
  <si>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</si>
  <si>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</si>
  <si>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</si>
  <si>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</si>
  <si>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</si>
  <si>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</si>
  <si>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</si>
  <si>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</si>
  <si>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</si>
  <si>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</si>
  <si>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</si>
  <si>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</si>
  <si>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</si>
  <si>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</si>
  <si>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</si>
  <si>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</si>
  <si>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</si>
  <si>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</si>
  <si>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</si>
  <si>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</si>
  <si>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</si>
  <si>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</si>
  <si>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</si>
  <si>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</si>
  <si>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</si>
  <si>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</si>
  <si>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</si>
  <si>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</si>
  <si>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</si>
  <si>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</si>
  <si>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</si>
  <si>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</si>
  <si>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</si>
  <si>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</si>
  <si>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</si>
  <si>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</si>
  <si>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</si>
  <si>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</si>
  <si>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</si>
  <si>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</si>
  <si>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</si>
  <si>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</si>
  <si>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</si>
  <si>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</si>
  <si>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</si>
  <si>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</si>
  <si>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</si>
  <si>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</si>
  <si>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</si>
  <si>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</si>
  <si>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</si>
  <si>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</si>
  <si>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</si>
  <si>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</si>
  <si>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</si>
  <si>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</si>
  <si>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</si>
  <si>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</si>
  <si>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</si>
  <si>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</si>
  <si>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</si>
  <si>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</si>
  <si>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</si>
  <si>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</si>
  <si>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</si>
  <si>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</si>
  <si>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</si>
  <si>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</si>
  <si>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</si>
  <si>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</si>
  <si>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</si>
  <si>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</si>
  <si>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</si>
  <si>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</si>
  <si>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</si>
  <si>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</si>
  <si>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</si>
  <si>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</si>
  <si>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</si>
  <si>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</si>
  <si>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</si>
  <si>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</si>
  <si>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</si>
  <si>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</si>
  <si>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</si>
  <si>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</si>
  <si>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</si>
  <si>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</si>
  <si>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</si>
  <si>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</si>
  <si>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</si>
  <si>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</si>
  <si>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</si>
  <si>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</si>
  <si>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</si>
  <si>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</si>
  <si>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</si>
  <si>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</si>
  <si>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</si>
  <si>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</si>
  <si>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</si>
  <si>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</si>
  <si>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</si>
  <si>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</si>
  <si>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</si>
  <si>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</si>
  <si>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</si>
  <si>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</si>
  <si>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</si>
  <si>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</si>
  <si>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</si>
  <si>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</si>
  <si>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</si>
  <si>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</si>
  <si>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</si>
  <si>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</si>
  <si>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</si>
  <si>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</si>
  <si>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</si>
  <si>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</si>
  <si>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</si>
  <si>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</si>
  <si>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</si>
  <si>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</si>
  <si>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</si>
  <si>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</si>
  <si>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</si>
  <si>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</si>
  <si>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</si>
  <si>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</si>
  <si>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</si>
  <si>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</si>
  <si>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</si>
  <si>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</si>
  <si>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</si>
  <si>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</si>
  <si>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</si>
  <si>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</si>
  <si>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</si>
  <si>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</si>
  <si>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</si>
  <si>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</si>
  <si>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</si>
  <si>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</si>
  <si>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</si>
  <si>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</si>
  <si>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</si>
  <si>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</si>
  <si>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</si>
  <si>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</si>
  <si>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</si>
  <si>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</si>
  <si>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</si>
  <si>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</si>
  <si>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</si>
  <si>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</si>
  <si>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</si>
  <si>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</si>
  <si>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</si>
  <si>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</si>
  <si>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</si>
  <si>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</si>
  <si>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</si>
  <si>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</si>
  <si>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</si>
  <si>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</si>
  <si>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</si>
  <si>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</si>
  <si>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</si>
  <si>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</si>
  <si>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</si>
  <si>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</si>
  <si>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</si>
  <si>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</si>
  <si>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</si>
  <si>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</si>
  <si>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</si>
  <si>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</si>
  <si>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</si>
  <si>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</si>
  <si>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</si>
  <si>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</si>
  <si>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</si>
  <si>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</si>
  <si>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</si>
  <si>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</si>
  <si>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</si>
  <si>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</si>
  <si>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</si>
  <si>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</si>
  <si>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</si>
  <si>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</si>
  <si>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</si>
  <si>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</si>
  <si>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</si>
  <si>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</si>
  <si>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</si>
  <si>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</si>
  <si>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</si>
  <si>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</si>
  <si>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</si>
  <si>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</si>
  <si>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</si>
  <si>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</si>
  <si>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</si>
  <si>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</si>
  <si>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</si>
  <si>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</si>
  <si>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</si>
  <si>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</si>
  <si>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</si>
  <si>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</si>
  <si>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</si>
  <si>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</si>
  <si>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</si>
  <si>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</si>
  <si>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</si>
  <si>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</si>
  <si>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</si>
  <si>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</si>
  <si>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</si>
  <si>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</si>
  <si>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</si>
  <si>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</si>
  <si>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</si>
  <si>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</si>
  <si>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</si>
  <si>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</si>
  <si>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</si>
  <si>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</si>
  <si>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</si>
  <si>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</si>
  <si>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</si>
  <si>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</si>
  <si>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</si>
  <si>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</si>
  <si>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</si>
  <si>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</si>
  <si>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</si>
  <si>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</si>
  <si>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</si>
  <si>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</si>
  <si>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</si>
  <si>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</si>
  <si>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</si>
  <si>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</si>
  <si>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</si>
  <si>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</si>
  <si>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</si>
  <si>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</si>
  <si>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</si>
  <si>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</si>
  <si>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</si>
  <si>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</si>
  <si>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</si>
  <si>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</si>
  <si>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</si>
  <si>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</si>
  <si>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</si>
  <si>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</si>
  <si>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</si>
  <si>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</si>
  <si>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</si>
  <si>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</si>
  <si>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</si>
  <si>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</si>
  <si>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</si>
  <si>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</si>
  <si>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</si>
  <si>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</si>
  <si>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</si>
  <si>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</si>
  <si>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</si>
  <si>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</si>
  <si>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</si>
  <si>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</si>
  <si>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</si>
  <si>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</si>
  <si>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</si>
  <si>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</si>
  <si>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</si>
  <si>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</si>
  <si>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</si>
  <si>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</si>
  <si>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</si>
  <si>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</si>
  <si>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</si>
  <si>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</si>
  <si>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</si>
  <si>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</si>
  <si>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</si>
  <si>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</si>
  <si>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</si>
  <si>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</si>
  <si>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</si>
  <si>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</si>
  <si>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</si>
  <si>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</si>
  <si>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</si>
  <si>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</si>
  <si>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</si>
  <si>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</si>
  <si>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</si>
  <si>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</si>
  <si>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</si>
  <si>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</si>
  <si>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</si>
  <si>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</si>
  <si>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</si>
  <si>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</si>
  <si>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</si>
  <si>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</si>
  <si>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</si>
  <si>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</si>
  <si>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</si>
  <si>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</si>
  <si>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</si>
  <si>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</si>
  <si>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</si>
  <si>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</si>
  <si>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</si>
  <si>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</si>
  <si>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</si>
  <si>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</si>
  <si>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</si>
  <si>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</si>
  <si>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</si>
  <si>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</si>
  <si>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</si>
  <si>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</si>
  <si>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</si>
  <si>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</si>
  <si>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</si>
  <si>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</si>
  <si>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</si>
  <si>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</si>
  <si>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</si>
  <si>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</si>
  <si>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</si>
  <si>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</si>
  <si>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</si>
  <si>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</si>
  <si>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</si>
  <si>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</si>
  <si>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</si>
  <si>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</si>
  <si>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</si>
  <si>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</si>
  <si>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</si>
  <si>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</si>
  <si>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</si>
  <si>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</si>
  <si>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</si>
  <si>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</si>
  <si>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</si>
  <si>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</si>
  <si>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</si>
  <si>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</si>
  <si>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</si>
  <si>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</si>
  <si>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</si>
  <si>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</si>
  <si>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</si>
  <si>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</si>
  <si>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</si>
  <si>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</si>
  <si>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</si>
  <si>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</si>
  <si>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</si>
  <si>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</si>
  <si>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</si>
  <si>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</si>
  <si>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</si>
  <si>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</si>
  <si>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</si>
  <si>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</si>
  <si>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</si>
  <si>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</si>
  <si>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</si>
  <si>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</si>
  <si>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</si>
  <si>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</si>
  <si>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</si>
  <si>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</si>
  <si>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</si>
  <si>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</si>
  <si>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</si>
  <si>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</si>
  <si>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</si>
  <si>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</si>
  <si>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</si>
  <si>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</si>
  <si>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</si>
  <si>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</si>
  <si>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</si>
  <si>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</si>
  <si>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</si>
  <si>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</si>
  <si>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</si>
  <si>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</si>
  <si>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</si>
  <si>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</si>
  <si>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</si>
  <si>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</si>
  <si>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</si>
  <si>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</si>
  <si>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</si>
  <si>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</si>
  <si>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</si>
  <si>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</si>
  <si>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</si>
  <si>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</si>
  <si>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</si>
  <si>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</si>
  <si>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</si>
  <si>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</si>
  <si>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</si>
  <si>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</si>
  <si>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</si>
  <si>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</si>
  <si>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</si>
  <si>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</si>
  <si>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</si>
  <si>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</si>
  <si>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</si>
  <si>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</si>
  <si>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</si>
  <si>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</si>
  <si>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</si>
  <si>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</si>
  <si>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</si>
  <si>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</si>
  <si>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</si>
  <si>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</si>
  <si>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</si>
  <si>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</si>
  <si>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</si>
  <si>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</si>
  <si>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</si>
  <si>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</si>
  <si>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</si>
  <si>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</si>
  <si>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</si>
  <si>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</si>
  <si>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</si>
  <si>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</si>
  <si>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</si>
  <si>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</si>
  <si>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</si>
  <si>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</si>
  <si>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</si>
  <si>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</si>
  <si>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</si>
  <si>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</si>
  <si>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</si>
  <si>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</si>
  <si>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</si>
  <si>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</si>
  <si>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</si>
  <si>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</si>
  <si>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</si>
  <si>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</si>
  <si>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</si>
  <si>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</si>
  <si>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</si>
  <si>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</si>
  <si>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</si>
  <si>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</si>
  <si>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</si>
  <si>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</si>
  <si>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</si>
  <si>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</si>
  <si>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</si>
  <si>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</si>
  <si>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</si>
  <si>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</si>
  <si>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</si>
  <si>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</si>
  <si>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</si>
  <si>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</si>
  <si>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</si>
  <si>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</si>
  <si>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</si>
  <si>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</si>
  <si>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</si>
  <si>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</si>
  <si>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</si>
  <si>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</si>
  <si>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</si>
  <si>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</si>
  <si>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</si>
  <si>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</si>
  <si>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</si>
  <si>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</si>
  <si>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</si>
  <si>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</si>
  <si>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</si>
  <si>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</si>
  <si>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</si>
  <si>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</si>
  <si>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</si>
  <si>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</si>
  <si>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</si>
  <si>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</si>
  <si>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</si>
  <si>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</si>
  <si>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</si>
  <si>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</si>
  <si>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</si>
  <si>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</si>
  <si>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</si>
  <si>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</si>
  <si>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</si>
  <si>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</si>
  <si>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</si>
  <si>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</si>
  <si>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</si>
  <si>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</si>
  <si>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</si>
  <si>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</si>
  <si>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</si>
  <si>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</si>
  <si>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</si>
  <si>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</si>
  <si>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</si>
  <si>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</si>
  <si>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</si>
  <si>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</si>
  <si>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</si>
  <si>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</si>
  <si>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</si>
  <si>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</si>
  <si>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</si>
  <si>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</si>
  <si>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</si>
  <si>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</si>
  <si>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</si>
  <si>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</si>
  <si>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</si>
  <si>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</si>
  <si>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</si>
  <si>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</si>
  <si>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</si>
  <si>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</si>
  <si>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</si>
  <si>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</si>
  <si>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</si>
  <si>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</si>
  <si>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</si>
  <si>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</si>
  <si>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</si>
  <si>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</si>
  <si>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</si>
  <si>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</si>
  <si>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</si>
  <si>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</si>
  <si>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</si>
  <si>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</si>
  <si>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</si>
  <si>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</si>
  <si>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</si>
  <si>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</si>
  <si>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</si>
  <si>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</si>
  <si>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</si>
  <si>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</si>
  <si>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</si>
  <si>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</si>
  <si>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</si>
  <si>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</si>
  <si>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</si>
  <si>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</si>
  <si>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</si>
  <si>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</si>
  <si>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</si>
  <si>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</si>
  <si>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</si>
  <si>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</si>
  <si>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</si>
  <si>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</si>
  <si>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</si>
  <si>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</si>
  <si>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</si>
  <si>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</si>
  <si>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</si>
  <si>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</si>
  <si>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</si>
  <si>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</si>
  <si>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</si>
  <si>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</si>
  <si>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</si>
  <si>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</si>
  <si>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</si>
  <si>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</si>
  <si>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</si>
  <si>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</si>
  <si>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</si>
  <si>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</si>
  <si>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</si>
  <si>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</si>
  <si>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</si>
  <si>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</si>
  <si>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</si>
  <si>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</si>
  <si>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</si>
  <si>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</si>
  <si>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</si>
  <si>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</si>
  <si>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</si>
  <si>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</si>
  <si>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</si>
  <si>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</si>
  <si>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</si>
  <si>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</si>
  <si>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</si>
  <si>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</si>
  <si>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</si>
  <si>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</si>
  <si>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</si>
  <si>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</si>
  <si>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</si>
  <si>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</si>
  <si>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</si>
  <si>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</si>
  <si>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</si>
  <si>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</si>
  <si>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</si>
  <si>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</si>
  <si>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</si>
  <si>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</si>
  <si>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PIERMONT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</si>
</sst>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435</v>
      </c>
      <c r="C2" s="21">
        <v>435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207427+100</f>
        <v>207527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349802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>
        <f>1+2312</f>
        <v>2313</v>
      </c>
      <c r="H12" s="18">
        <v>1293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1328</v>
      </c>
      <c r="G13" s="18"/>
      <c r="H13" s="18">
        <v>814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94888</v>
      </c>
      <c r="G14" s="18">
        <v>328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931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304674</v>
      </c>
      <c r="G19" s="41">
        <f>SUM(G9:G18)</f>
        <v>2641</v>
      </c>
      <c r="H19" s="41">
        <f>SUM(H9:H18)</f>
        <v>2107</v>
      </c>
      <c r="I19" s="41">
        <f>SUM(I9:I18)</f>
        <v>0</v>
      </c>
      <c r="J19" s="41">
        <f>SUM(J9:J18)</f>
        <v>349802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3606</v>
      </c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30686+28</f>
        <v>30714</v>
      </c>
      <c r="G24" s="18">
        <v>2641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2107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34320</v>
      </c>
      <c r="G32" s="41">
        <f>SUM(G22:G31)</f>
        <v>2641</v>
      </c>
      <c r="H32" s="41">
        <f>SUM(H22:H31)</f>
        <v>2107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931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35000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41131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349802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6778+2214390-2027876</f>
        <v>193292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270354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349802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304674</v>
      </c>
      <c r="G52" s="41">
        <f>G51+G32</f>
        <v>2641</v>
      </c>
      <c r="H52" s="41">
        <f>H51+H32</f>
        <v>2107</v>
      </c>
      <c r="I52" s="41">
        <f>I51+I32</f>
        <v>0</v>
      </c>
      <c r="J52" s="41">
        <f>J51+J32</f>
        <v>349802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1435443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1435443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f>385+1</f>
        <v>386</v>
      </c>
      <c r="G96" s="18"/>
      <c r="H96" s="18"/>
      <c r="I96" s="18"/>
      <c r="J96" s="18">
        <f>7373+6543+1</f>
        <v>13917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9526+1</f>
        <v>9527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f>893-1</f>
        <v>892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25128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1369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26883</v>
      </c>
      <c r="G111" s="41">
        <f>SUM(G96:G110)</f>
        <v>9527</v>
      </c>
      <c r="H111" s="41">
        <f>SUM(H96:H110)</f>
        <v>892</v>
      </c>
      <c r="I111" s="41">
        <f>SUM(I96:I110)</f>
        <v>0</v>
      </c>
      <c r="J111" s="41">
        <f>SUM(J96:J110)</f>
        <v>13917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1462326</v>
      </c>
      <c r="G112" s="41">
        <f>G60+G111</f>
        <v>9527</v>
      </c>
      <c r="H112" s="41">
        <f>H60+H79+H94+H111</f>
        <v>892</v>
      </c>
      <c r="I112" s="41">
        <f>I60+I111</f>
        <v>0</v>
      </c>
      <c r="J112" s="41">
        <f>J60+J111</f>
        <v>13917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276378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209834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2787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488999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159562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10598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122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307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170282</v>
      </c>
      <c r="G136" s="41">
        <f>SUM(G123:G135)</f>
        <v>307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659281</v>
      </c>
      <c r="G140" s="41">
        <f>G121+SUM(G136:G137)</f>
        <v>307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11164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8120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7147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87458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87458</v>
      </c>
      <c r="G162" s="41">
        <f>SUM(G150:G161)</f>
        <v>7147</v>
      </c>
      <c r="H162" s="41">
        <f>SUM(H150:H161)</f>
        <v>19284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1341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88799</v>
      </c>
      <c r="G169" s="41">
        <f>G147+G162+SUM(G163:G168)</f>
        <v>7147</v>
      </c>
      <c r="H169" s="41">
        <f>H147+H162+SUM(H163:H168)</f>
        <v>19284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23684</v>
      </c>
      <c r="H179" s="18"/>
      <c r="I179" s="18"/>
      <c r="J179" s="18">
        <v>38000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23684</v>
      </c>
      <c r="H183" s="41">
        <f>SUM(H179:H182)</f>
        <v>0</v>
      </c>
      <c r="I183" s="41">
        <f>SUM(I179:I182)</f>
        <v>0</v>
      </c>
      <c r="J183" s="41">
        <f>SUM(J179:J182)</f>
        <v>38000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3984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3984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3984</v>
      </c>
      <c r="G192" s="41">
        <f>G183+SUM(G188:G191)</f>
        <v>23684</v>
      </c>
      <c r="H192" s="41">
        <f>+H183+SUM(H188:H191)</f>
        <v>0</v>
      </c>
      <c r="I192" s="41">
        <f>I177+I183+SUM(I188:I191)</f>
        <v>0</v>
      </c>
      <c r="J192" s="41">
        <f>J183</f>
        <v>38000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2214390</v>
      </c>
      <c r="G193" s="47">
        <f>G112+G140+G169+G192</f>
        <v>40665</v>
      </c>
      <c r="H193" s="47">
        <f>H112+H140+H169+H192</f>
        <v>20176</v>
      </c>
      <c r="I193" s="47">
        <f>I112+I140+I169+I192</f>
        <v>0</v>
      </c>
      <c r="J193" s="47">
        <f>J112+J140+J192</f>
        <v>51917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332422</v>
      </c>
      <c r="G197" s="18">
        <v>141394</v>
      </c>
      <c r="H197" s="18">
        <f>35471+321</f>
        <v>35792</v>
      </c>
      <c r="I197" s="18">
        <v>7271</v>
      </c>
      <c r="J197" s="18">
        <v>8659</v>
      </c>
      <c r="K197" s="18">
        <f>365+1</f>
        <v>366</v>
      </c>
      <c r="L197" s="19">
        <f>SUM(F197:K197)</f>
        <v>525904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70972</v>
      </c>
      <c r="G198" s="18">
        <v>24011</v>
      </c>
      <c r="H198" s="18">
        <f>8309+300569</f>
        <v>308878</v>
      </c>
      <c r="I198" s="18">
        <v>273</v>
      </c>
      <c r="J198" s="18"/>
      <c r="K198" s="18">
        <v>125</v>
      </c>
      <c r="L198" s="19">
        <f>SUM(F198:K198)</f>
        <v>404259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2175</v>
      </c>
      <c r="G200" s="18">
        <v>405</v>
      </c>
      <c r="H200" s="18"/>
      <c r="I200" s="18">
        <v>1033</v>
      </c>
      <c r="J200" s="18"/>
      <c r="K200" s="18">
        <v>484</v>
      </c>
      <c r="L200" s="19">
        <f>SUM(F200:K200)</f>
        <v>4097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14675</v>
      </c>
      <c r="G202" s="18">
        <v>1233</v>
      </c>
      <c r="H202" s="18">
        <f>49062+1421</f>
        <v>50483</v>
      </c>
      <c r="I202" s="18">
        <f>2828</f>
        <v>2828</v>
      </c>
      <c r="J202" s="18"/>
      <c r="K202" s="18">
        <v>3126</v>
      </c>
      <c r="L202" s="19">
        <f t="shared" ref="L202:L208" si="0">SUM(F202:K202)</f>
        <v>72345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16481</v>
      </c>
      <c r="G203" s="18">
        <v>4383</v>
      </c>
      <c r="H203" s="18">
        <f>2170</f>
        <v>2170</v>
      </c>
      <c r="I203" s="18">
        <v>1312</v>
      </c>
      <c r="J203" s="18">
        <f>9572+1</f>
        <v>9573</v>
      </c>
      <c r="K203" s="18"/>
      <c r="L203" s="19">
        <f t="shared" si="0"/>
        <v>33919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2010</v>
      </c>
      <c r="G204" s="18">
        <v>161</v>
      </c>
      <c r="H204" s="18">
        <f>83070+1969+1</f>
        <v>85040</v>
      </c>
      <c r="I204" s="18">
        <v>40</v>
      </c>
      <c r="J204" s="18"/>
      <c r="K204" s="18">
        <v>1424</v>
      </c>
      <c r="L204" s="19">
        <f t="shared" si="0"/>
        <v>88675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81407</v>
      </c>
      <c r="G205" s="18">
        <v>32921</v>
      </c>
      <c r="H205" s="18">
        <v>2235</v>
      </c>
      <c r="I205" s="18">
        <v>742</v>
      </c>
      <c r="J205" s="18"/>
      <c r="K205" s="18">
        <f>1027+1481</f>
        <v>2508</v>
      </c>
      <c r="L205" s="19">
        <f t="shared" si="0"/>
        <v>119813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31280</v>
      </c>
      <c r="G207" s="18">
        <v>16152</v>
      </c>
      <c r="H207" s="18">
        <f>6400+39153+783</f>
        <v>46336</v>
      </c>
      <c r="I207" s="18">
        <v>28530</v>
      </c>
      <c r="J207" s="18"/>
      <c r="K207" s="18"/>
      <c r="L207" s="19">
        <f t="shared" si="0"/>
        <v>122298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90083</v>
      </c>
      <c r="I208" s="18"/>
      <c r="J208" s="18"/>
      <c r="K208" s="18"/>
      <c r="L208" s="19">
        <f t="shared" si="0"/>
        <v>90083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f>2343-1</f>
        <v>2342</v>
      </c>
      <c r="I209" s="18">
        <v>835</v>
      </c>
      <c r="J209" s="18"/>
      <c r="K209" s="18"/>
      <c r="L209" s="19">
        <f>SUM(F209:K209)</f>
        <v>3177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551422</v>
      </c>
      <c r="G211" s="41">
        <f t="shared" si="1"/>
        <v>220660</v>
      </c>
      <c r="H211" s="41">
        <f t="shared" si="1"/>
        <v>623359</v>
      </c>
      <c r="I211" s="41">
        <f t="shared" si="1"/>
        <v>42864</v>
      </c>
      <c r="J211" s="41">
        <f t="shared" si="1"/>
        <v>18232</v>
      </c>
      <c r="K211" s="41">
        <f t="shared" si="1"/>
        <v>8033</v>
      </c>
      <c r="L211" s="41">
        <f t="shared" si="1"/>
        <v>1464570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393864</v>
      </c>
      <c r="I233" s="18"/>
      <c r="J233" s="18"/>
      <c r="K233" s="18"/>
      <c r="L233" s="19">
        <f>SUM(F233:K233)</f>
        <v>393864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38035</v>
      </c>
      <c r="I234" s="18"/>
      <c r="J234" s="18"/>
      <c r="K234" s="18"/>
      <c r="L234" s="19">
        <f>SUM(F234:K234)</f>
        <v>38035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21058</v>
      </c>
      <c r="I235" s="18"/>
      <c r="J235" s="18"/>
      <c r="K235" s="18"/>
      <c r="L235" s="19">
        <f>SUM(F235:K235)</f>
        <v>21058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1082</v>
      </c>
      <c r="G240" s="18">
        <v>87</v>
      </c>
      <c r="H240" s="18">
        <f>44729+1042</f>
        <v>45771</v>
      </c>
      <c r="I240" s="18">
        <v>22</v>
      </c>
      <c r="J240" s="18"/>
      <c r="K240" s="18">
        <f>767+1</f>
        <v>768</v>
      </c>
      <c r="L240" s="19">
        <f t="shared" si="4"/>
        <v>47730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935</v>
      </c>
      <c r="I244" s="18"/>
      <c r="J244" s="18"/>
      <c r="K244" s="18"/>
      <c r="L244" s="19">
        <f t="shared" si="4"/>
        <v>935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1082</v>
      </c>
      <c r="G247" s="41">
        <f t="shared" si="5"/>
        <v>87</v>
      </c>
      <c r="H247" s="41">
        <f t="shared" si="5"/>
        <v>499663</v>
      </c>
      <c r="I247" s="41">
        <f t="shared" si="5"/>
        <v>22</v>
      </c>
      <c r="J247" s="41">
        <f t="shared" si="5"/>
        <v>0</v>
      </c>
      <c r="K247" s="41">
        <f t="shared" si="5"/>
        <v>768</v>
      </c>
      <c r="L247" s="41">
        <f t="shared" si="5"/>
        <v>501622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552504</v>
      </c>
      <c r="G257" s="41">
        <f t="shared" si="8"/>
        <v>220747</v>
      </c>
      <c r="H257" s="41">
        <f t="shared" si="8"/>
        <v>1123022</v>
      </c>
      <c r="I257" s="41">
        <f t="shared" si="8"/>
        <v>42886</v>
      </c>
      <c r="J257" s="41">
        <f t="shared" si="8"/>
        <v>18232</v>
      </c>
      <c r="K257" s="41">
        <f t="shared" si="8"/>
        <v>8801</v>
      </c>
      <c r="L257" s="41">
        <f t="shared" si="8"/>
        <v>1966192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23684</v>
      </c>
      <c r="L263" s="19">
        <f>SUM(F263:K263)</f>
        <v>23684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38000</v>
      </c>
      <c r="L266" s="19">
        <f t="shared" si="9"/>
        <v>38000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61684</v>
      </c>
      <c r="L270" s="41">
        <f t="shared" si="9"/>
        <v>61684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552504</v>
      </c>
      <c r="G271" s="42">
        <f t="shared" si="11"/>
        <v>220747</v>
      </c>
      <c r="H271" s="42">
        <f t="shared" si="11"/>
        <v>1123022</v>
      </c>
      <c r="I271" s="42">
        <f t="shared" si="11"/>
        <v>42886</v>
      </c>
      <c r="J271" s="42">
        <f t="shared" si="11"/>
        <v>18232</v>
      </c>
      <c r="K271" s="42">
        <f t="shared" si="11"/>
        <v>70485</v>
      </c>
      <c r="L271" s="42">
        <f t="shared" si="11"/>
        <v>2027876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>
        <v>11164</v>
      </c>
      <c r="J276" s="18"/>
      <c r="K276" s="18"/>
      <c r="L276" s="19">
        <f>SUM(F276:K276)</f>
        <v>11164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3600</v>
      </c>
      <c r="G282" s="18">
        <v>896</v>
      </c>
      <c r="H282" s="18">
        <f>729+3367</f>
        <v>4096</v>
      </c>
      <c r="I282" s="18">
        <v>420</v>
      </c>
      <c r="J282" s="18"/>
      <c r="K282" s="18"/>
      <c r="L282" s="19">
        <f t="shared" si="12"/>
        <v>9012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3600</v>
      </c>
      <c r="G290" s="42">
        <f t="shared" si="13"/>
        <v>896</v>
      </c>
      <c r="H290" s="42">
        <f t="shared" si="13"/>
        <v>4096</v>
      </c>
      <c r="I290" s="42">
        <f t="shared" si="13"/>
        <v>11584</v>
      </c>
      <c r="J290" s="42">
        <f t="shared" si="13"/>
        <v>0</v>
      </c>
      <c r="K290" s="42">
        <f t="shared" si="13"/>
        <v>0</v>
      </c>
      <c r="L290" s="41">
        <f t="shared" si="13"/>
        <v>20176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3600</v>
      </c>
      <c r="G338" s="41">
        <f t="shared" si="20"/>
        <v>896</v>
      </c>
      <c r="H338" s="41">
        <f t="shared" si="20"/>
        <v>4096</v>
      </c>
      <c r="I338" s="41">
        <f t="shared" si="20"/>
        <v>11584</v>
      </c>
      <c r="J338" s="41">
        <f t="shared" si="20"/>
        <v>0</v>
      </c>
      <c r="K338" s="41">
        <f t="shared" si="20"/>
        <v>0</v>
      </c>
      <c r="L338" s="41">
        <f t="shared" si="20"/>
        <v>20176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3600</v>
      </c>
      <c r="G352" s="41">
        <f>G338</f>
        <v>896</v>
      </c>
      <c r="H352" s="41">
        <f>H338</f>
        <v>4096</v>
      </c>
      <c r="I352" s="41">
        <f>I338</f>
        <v>11584</v>
      </c>
      <c r="J352" s="41">
        <f>J338</f>
        <v>0</v>
      </c>
      <c r="K352" s="47">
        <f>K338+K351</f>
        <v>0</v>
      </c>
      <c r="L352" s="41">
        <f>L338+L351</f>
        <v>20176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f>39379+300</f>
        <v>39679</v>
      </c>
      <c r="I358" s="18">
        <v>561</v>
      </c>
      <c r="J358" s="18"/>
      <c r="K358" s="18">
        <v>425</v>
      </c>
      <c r="L358" s="13">
        <f>SUM(F358:K358)</f>
        <v>40665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39679</v>
      </c>
      <c r="I362" s="47">
        <f t="shared" si="22"/>
        <v>561</v>
      </c>
      <c r="J362" s="47">
        <f t="shared" si="22"/>
        <v>0</v>
      </c>
      <c r="K362" s="47">
        <f t="shared" si="22"/>
        <v>425</v>
      </c>
      <c r="L362" s="47">
        <f t="shared" si="22"/>
        <v>40665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61+20</f>
        <v>81</v>
      </c>
      <c r="G367" s="18"/>
      <c r="H367" s="18"/>
      <c r="I367" s="56">
        <f>SUM(F367:H367)</f>
        <v>81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480</v>
      </c>
      <c r="G368" s="63"/>
      <c r="H368" s="63"/>
      <c r="I368" s="56">
        <f>SUM(F368:H368)</f>
        <v>480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561</v>
      </c>
      <c r="G369" s="47">
        <f>SUM(G367:G368)</f>
        <v>0</v>
      </c>
      <c r="H369" s="47">
        <f>SUM(H367:H368)</f>
        <v>0</v>
      </c>
      <c r="I369" s="47">
        <f>SUM(I367:I368)</f>
        <v>561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71</v>
      </c>
      <c r="I389" s="18"/>
      <c r="J389" s="24" t="s">
        <v>286</v>
      </c>
      <c r="K389" s="24" t="s">
        <v>286</v>
      </c>
      <c r="L389" s="56">
        <f t="shared" si="25"/>
        <v>71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71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71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73</v>
      </c>
      <c r="I396" s="18"/>
      <c r="J396" s="24" t="s">
        <v>286</v>
      </c>
      <c r="K396" s="24" t="s">
        <v>286</v>
      </c>
      <c r="L396" s="56">
        <f t="shared" si="26"/>
        <v>73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20000</v>
      </c>
      <c r="H397" s="18">
        <v>153</v>
      </c>
      <c r="I397" s="18"/>
      <c r="J397" s="24" t="s">
        <v>286</v>
      </c>
      <c r="K397" s="24" t="s">
        <v>286</v>
      </c>
      <c r="L397" s="56">
        <f t="shared" si="26"/>
        <v>20153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15000</v>
      </c>
      <c r="H398" s="18">
        <v>96</v>
      </c>
      <c r="I398" s="18"/>
      <c r="J398" s="24" t="s">
        <v>286</v>
      </c>
      <c r="K398" s="24" t="s">
        <v>286</v>
      </c>
      <c r="L398" s="56">
        <f t="shared" si="26"/>
        <v>15096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>
        <v>3000</v>
      </c>
      <c r="H399" s="18">
        <v>12</v>
      </c>
      <c r="I399" s="18"/>
      <c r="J399" s="24" t="s">
        <v>286</v>
      </c>
      <c r="K399" s="24" t="s">
        <v>286</v>
      </c>
      <c r="L399" s="56">
        <f t="shared" si="26"/>
        <v>3012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f>13512</f>
        <v>13512</v>
      </c>
      <c r="I400" s="18"/>
      <c r="J400" s="24" t="s">
        <v>286</v>
      </c>
      <c r="K400" s="24" t="s">
        <v>286</v>
      </c>
      <c r="L400" s="56">
        <f t="shared" si="26"/>
        <v>13512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38000</v>
      </c>
      <c r="H401" s="47">
        <f>SUM(H395:H400)</f>
        <v>13846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51846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38000</v>
      </c>
      <c r="H408" s="47">
        <f>H393+H401+H407</f>
        <v>13917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51917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>
        <v>3984</v>
      </c>
      <c r="L425" s="56">
        <f t="shared" si="29"/>
        <v>3984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>
        <v>1083</v>
      </c>
      <c r="I426" s="18"/>
      <c r="J426" s="18"/>
      <c r="K426" s="18"/>
      <c r="L426" s="56">
        <f t="shared" si="29"/>
        <v>1083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1083</v>
      </c>
      <c r="I427" s="47">
        <f t="shared" si="30"/>
        <v>0</v>
      </c>
      <c r="J427" s="47">
        <f t="shared" si="30"/>
        <v>0</v>
      </c>
      <c r="K427" s="47">
        <f t="shared" si="30"/>
        <v>3984</v>
      </c>
      <c r="L427" s="47">
        <f t="shared" si="30"/>
        <v>5067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1083</v>
      </c>
      <c r="I434" s="47">
        <f t="shared" si="32"/>
        <v>0</v>
      </c>
      <c r="J434" s="47">
        <f t="shared" si="32"/>
        <v>0</v>
      </c>
      <c r="K434" s="47">
        <f t="shared" si="32"/>
        <v>3984</v>
      </c>
      <c r="L434" s="47">
        <f t="shared" si="32"/>
        <v>5067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349802</v>
      </c>
      <c r="H440" s="18"/>
      <c r="I440" s="56">
        <f t="shared" si="33"/>
        <v>349802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349802</v>
      </c>
      <c r="H446" s="13">
        <f>SUM(H439:H445)</f>
        <v>0</v>
      </c>
      <c r="I446" s="13">
        <f>SUM(I439:I445)</f>
        <v>349802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349802</v>
      </c>
      <c r="H459" s="18"/>
      <c r="I459" s="56">
        <f t="shared" si="34"/>
        <v>349802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349802</v>
      </c>
      <c r="H460" s="83">
        <f>SUM(H454:H459)</f>
        <v>0</v>
      </c>
      <c r="I460" s="83">
        <f>SUM(I454:I459)</f>
        <v>349802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349802</v>
      </c>
      <c r="H461" s="42">
        <f>H452+H460</f>
        <v>0</v>
      </c>
      <c r="I461" s="42">
        <f>I452+I460</f>
        <v>349802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83840</v>
      </c>
      <c r="G465" s="18">
        <v>0</v>
      </c>
      <c r="H465" s="18">
        <v>0</v>
      </c>
      <c r="I465" s="18"/>
      <c r="J465" s="18">
        <f>302952</f>
        <v>302952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2214390</v>
      </c>
      <c r="G468" s="18">
        <v>40665</v>
      </c>
      <c r="H468" s="18">
        <v>20176</v>
      </c>
      <c r="I468" s="18"/>
      <c r="J468" s="18">
        <f>51916+1</f>
        <v>51917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2214390</v>
      </c>
      <c r="G470" s="53">
        <f>SUM(G468:G469)</f>
        <v>40665</v>
      </c>
      <c r="H470" s="53">
        <f>SUM(H468:H469)</f>
        <v>20176</v>
      </c>
      <c r="I470" s="53">
        <f>SUM(I468:I469)</f>
        <v>0</v>
      </c>
      <c r="J470" s="53">
        <f>SUM(J468:J469)</f>
        <v>51917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2027876</v>
      </c>
      <c r="G472" s="18">
        <v>40665</v>
      </c>
      <c r="H472" s="18">
        <v>20176</v>
      </c>
      <c r="I472" s="18"/>
      <c r="J472" s="18">
        <v>5067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2027876</v>
      </c>
      <c r="G474" s="53">
        <f>SUM(G472:G473)</f>
        <v>40665</v>
      </c>
      <c r="H474" s="53">
        <f>SUM(H472:H473)</f>
        <v>20176</v>
      </c>
      <c r="I474" s="53">
        <f>SUM(I472:I473)</f>
        <v>0</v>
      </c>
      <c r="J474" s="53">
        <f>SUM(J472:J473)</f>
        <v>5067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270354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349802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70972</v>
      </c>
      <c r="G521" s="18">
        <v>24011</v>
      </c>
      <c r="H521" s="18">
        <f>8309+300568+1</f>
        <v>308878</v>
      </c>
      <c r="I521" s="18">
        <v>273</v>
      </c>
      <c r="J521" s="18"/>
      <c r="K521" s="18">
        <v>125</v>
      </c>
      <c r="L521" s="88">
        <f>SUM(F521:K521)</f>
        <v>404259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38035</v>
      </c>
      <c r="I523" s="18"/>
      <c r="J523" s="18"/>
      <c r="K523" s="18"/>
      <c r="L523" s="88">
        <f>SUM(F523:K523)</f>
        <v>38035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70972</v>
      </c>
      <c r="G524" s="108">
        <f t="shared" ref="G524:L524" si="36">SUM(G521:G523)</f>
        <v>24011</v>
      </c>
      <c r="H524" s="108">
        <f t="shared" si="36"/>
        <v>346913</v>
      </c>
      <c r="I524" s="108">
        <f t="shared" si="36"/>
        <v>273</v>
      </c>
      <c r="J524" s="108">
        <f t="shared" si="36"/>
        <v>0</v>
      </c>
      <c r="K524" s="108">
        <f t="shared" si="36"/>
        <v>125</v>
      </c>
      <c r="L524" s="89">
        <f t="shared" si="36"/>
        <v>442294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30357</v>
      </c>
      <c r="I526" s="18">
        <v>381</v>
      </c>
      <c r="J526" s="18"/>
      <c r="K526" s="18"/>
      <c r="L526" s="88">
        <f>SUM(F526:K526)</f>
        <v>30738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30357</v>
      </c>
      <c r="I529" s="89">
        <f t="shared" si="37"/>
        <v>381</v>
      </c>
      <c r="J529" s="89">
        <f t="shared" si="37"/>
        <v>0</v>
      </c>
      <c r="K529" s="89">
        <f t="shared" si="37"/>
        <v>0</v>
      </c>
      <c r="L529" s="89">
        <f t="shared" si="37"/>
        <v>30738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16018</v>
      </c>
      <c r="I531" s="18"/>
      <c r="J531" s="18"/>
      <c r="K531" s="18"/>
      <c r="L531" s="88">
        <f>SUM(F531:K531)</f>
        <v>16018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7538</v>
      </c>
      <c r="I533" s="18"/>
      <c r="J533" s="18"/>
      <c r="K533" s="18"/>
      <c r="L533" s="88">
        <f>SUM(F533:K533)</f>
        <v>7538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23556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23556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32701</v>
      </c>
      <c r="I541" s="18"/>
      <c r="J541" s="18"/>
      <c r="K541" s="18"/>
      <c r="L541" s="88">
        <f>SUM(F541:K541)</f>
        <v>32701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32701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32701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70972</v>
      </c>
      <c r="G545" s="89">
        <f t="shared" ref="G545:L545" si="41">G524+G529+G534+G539+G544</f>
        <v>24011</v>
      </c>
      <c r="H545" s="89">
        <f t="shared" si="41"/>
        <v>433527</v>
      </c>
      <c r="I545" s="89">
        <f t="shared" si="41"/>
        <v>654</v>
      </c>
      <c r="J545" s="89">
        <f t="shared" si="41"/>
        <v>0</v>
      </c>
      <c r="K545" s="89">
        <f t="shared" si="41"/>
        <v>125</v>
      </c>
      <c r="L545" s="89">
        <f t="shared" si="41"/>
        <v>529289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404259</v>
      </c>
      <c r="G549" s="87">
        <f>L526</f>
        <v>30738</v>
      </c>
      <c r="H549" s="87">
        <f>L531</f>
        <v>16018</v>
      </c>
      <c r="I549" s="87">
        <f>L536</f>
        <v>0</v>
      </c>
      <c r="J549" s="87">
        <f>L541</f>
        <v>32701</v>
      </c>
      <c r="K549" s="87">
        <f>SUM(F549:J549)</f>
        <v>483716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38035</v>
      </c>
      <c r="G551" s="87">
        <f>L528</f>
        <v>0</v>
      </c>
      <c r="H551" s="87">
        <f>L533</f>
        <v>7538</v>
      </c>
      <c r="I551" s="87">
        <f>L538</f>
        <v>0</v>
      </c>
      <c r="J551" s="87">
        <f>L543</f>
        <v>0</v>
      </c>
      <c r="K551" s="87">
        <f>SUM(F551:J551)</f>
        <v>45573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442294</v>
      </c>
      <c r="G552" s="89">
        <f t="shared" si="42"/>
        <v>30738</v>
      </c>
      <c r="H552" s="89">
        <f t="shared" si="42"/>
        <v>23556</v>
      </c>
      <c r="I552" s="89">
        <f t="shared" si="42"/>
        <v>0</v>
      </c>
      <c r="J552" s="89">
        <f t="shared" si="42"/>
        <v>32701</v>
      </c>
      <c r="K552" s="89">
        <f t="shared" si="42"/>
        <v>529289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111219</v>
      </c>
      <c r="I575" s="87">
        <f>SUM(F575:H575)</f>
        <v>111219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>
        <v>282645</v>
      </c>
      <c r="I576" s="87">
        <f t="shared" ref="I576:I587" si="47">SUM(F576:H576)</f>
        <v>282645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>
        <v>17752</v>
      </c>
      <c r="I580" s="87">
        <f t="shared" si="47"/>
        <v>17752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300568</v>
      </c>
      <c r="G582" s="18"/>
      <c r="H582" s="18">
        <v>20283</v>
      </c>
      <c r="I582" s="87">
        <f t="shared" si="47"/>
        <v>320851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>
        <v>21058</v>
      </c>
      <c r="I585" s="87">
        <f t="shared" si="47"/>
        <v>21058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55319</v>
      </c>
      <c r="I591" s="18"/>
      <c r="J591" s="18">
        <v>935</v>
      </c>
      <c r="K591" s="104">
        <f t="shared" ref="K591:K597" si="48">SUM(H591:J591)</f>
        <v>56254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32701</v>
      </c>
      <c r="I592" s="18"/>
      <c r="J592" s="18"/>
      <c r="K592" s="104">
        <f t="shared" si="48"/>
        <v>32701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2063</v>
      </c>
      <c r="I595" s="18"/>
      <c r="J595" s="18"/>
      <c r="K595" s="104">
        <f t="shared" si="48"/>
        <v>2063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90083</v>
      </c>
      <c r="I598" s="108">
        <f>SUM(I591:I597)</f>
        <v>0</v>
      </c>
      <c r="J598" s="108">
        <f>SUM(J591:J597)</f>
        <v>935</v>
      </c>
      <c r="K598" s="108">
        <f>SUM(K591:K597)</f>
        <v>91018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18232</v>
      </c>
      <c r="I604" s="18"/>
      <c r="J604" s="18"/>
      <c r="K604" s="104">
        <f>SUM(H604:J604)</f>
        <v>18232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18232</v>
      </c>
      <c r="I605" s="108">
        <f>SUM(I602:I604)</f>
        <v>0</v>
      </c>
      <c r="J605" s="108">
        <f>SUM(J602:J604)</f>
        <v>0</v>
      </c>
      <c r="K605" s="108">
        <f>SUM(K602:K604)</f>
        <v>18232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1375</v>
      </c>
      <c r="G611" s="18">
        <v>344</v>
      </c>
      <c r="H611" s="18"/>
      <c r="I611" s="18"/>
      <c r="J611" s="18"/>
      <c r="K611" s="18"/>
      <c r="L611" s="88">
        <f>SUM(F611:K611)</f>
        <v>1719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1375</v>
      </c>
      <c r="G614" s="108">
        <f t="shared" si="49"/>
        <v>344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1719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304674</v>
      </c>
      <c r="H617" s="109">
        <f>SUM(F52)</f>
        <v>304674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2641</v>
      </c>
      <c r="H618" s="109">
        <f>SUM(G52)</f>
        <v>2641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2107</v>
      </c>
      <c r="H619" s="109">
        <f>SUM(H52)</f>
        <v>2107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349802</v>
      </c>
      <c r="H621" s="109">
        <f>SUM(J52)</f>
        <v>349802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270354</v>
      </c>
      <c r="H622" s="109">
        <f>F476</f>
        <v>270354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349802</v>
      </c>
      <c r="H626" s="109">
        <f>J476</f>
        <v>349802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2214390</v>
      </c>
      <c r="H627" s="104">
        <f>SUM(F468)</f>
        <v>2214390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40665</v>
      </c>
      <c r="H628" s="104">
        <f>SUM(G468)</f>
        <v>40665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20176</v>
      </c>
      <c r="H629" s="104">
        <f>SUM(H468)</f>
        <v>20176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51917</v>
      </c>
      <c r="H631" s="104">
        <f>SUM(J468)</f>
        <v>51917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2027876</v>
      </c>
      <c r="H632" s="104">
        <f>SUM(F472)</f>
        <v>2027876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20176</v>
      </c>
      <c r="H633" s="104">
        <f>SUM(H472)</f>
        <v>20176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561</v>
      </c>
      <c r="H634" s="104">
        <f>I369</f>
        <v>561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40665</v>
      </c>
      <c r="H635" s="104">
        <f>SUM(G472)</f>
        <v>40665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51917</v>
      </c>
      <c r="H637" s="164">
        <f>SUM(J468)</f>
        <v>51917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5067</v>
      </c>
      <c r="H638" s="164">
        <f>SUM(J472)</f>
        <v>5067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349802</v>
      </c>
      <c r="H640" s="104">
        <f>SUM(G461)</f>
        <v>349802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349802</v>
      </c>
      <c r="H642" s="104">
        <f>SUM(I461)</f>
        <v>349802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13917</v>
      </c>
      <c r="H644" s="104">
        <f>H408</f>
        <v>13917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38000</v>
      </c>
      <c r="H645" s="104">
        <f>G408</f>
        <v>38000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51917</v>
      </c>
      <c r="H646" s="104">
        <f>L408</f>
        <v>51917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91018</v>
      </c>
      <c r="H647" s="104">
        <f>L208+L226+L244</f>
        <v>91018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18232</v>
      </c>
      <c r="H648" s="104">
        <f>(J257+J338)-(J255+J336)</f>
        <v>18232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90083</v>
      </c>
      <c r="H649" s="104">
        <f>H598</f>
        <v>90083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935</v>
      </c>
      <c r="H651" s="104">
        <f>J598</f>
        <v>935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23684</v>
      </c>
      <c r="H652" s="104">
        <f>K263+K345</f>
        <v>23684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38000</v>
      </c>
      <c r="H655" s="104">
        <f>K266+K347</f>
        <v>38000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1525411</v>
      </c>
      <c r="G660" s="19">
        <f>(L229+L309+L359)</f>
        <v>0</v>
      </c>
      <c r="H660" s="19">
        <f>(L247+L328+L360)</f>
        <v>501622</v>
      </c>
      <c r="I660" s="19">
        <f>SUM(F660:H660)</f>
        <v>2027033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9527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9527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90083</v>
      </c>
      <c r="G662" s="19">
        <f>(L226+L306)-(J226+J306)</f>
        <v>0</v>
      </c>
      <c r="H662" s="19">
        <f>(L244+L325)-(J244+J325)</f>
        <v>935</v>
      </c>
      <c r="I662" s="19">
        <f>SUM(F662:H662)</f>
        <v>91018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320519</v>
      </c>
      <c r="G663" s="199">
        <f>SUM(G575:G587)+SUM(I602:I604)+L612</f>
        <v>0</v>
      </c>
      <c r="H663" s="199">
        <f>SUM(H575:H587)+SUM(J602:J604)+L613</f>
        <v>452957</v>
      </c>
      <c r="I663" s="19">
        <f>SUM(F663:H663)</f>
        <v>773476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1105282</v>
      </c>
      <c r="G664" s="19">
        <f>G660-SUM(G661:G663)</f>
        <v>0</v>
      </c>
      <c r="H664" s="19">
        <f>H660-SUM(H661:H663)</f>
        <v>47730</v>
      </c>
      <c r="I664" s="19">
        <f>I660-SUM(I661:I663)</f>
        <v>1153012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61.01</v>
      </c>
      <c r="G665" s="248"/>
      <c r="H665" s="248"/>
      <c r="I665" s="19">
        <f>SUM(F665:H665)</f>
        <v>61.01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18116.41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18898.740000000002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-47730</v>
      </c>
      <c r="I669" s="19">
        <f>SUM(F669:H669)</f>
        <v>-47730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18116.41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18116.41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0" workbookViewId="0">
      <selection activeCell="A22" sqref="A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PIERMONT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332422</v>
      </c>
      <c r="C9" s="229">
        <f>'DOE25'!G197+'DOE25'!G215+'DOE25'!G233+'DOE25'!G276+'DOE25'!G295+'DOE25'!G314</f>
        <v>141394</v>
      </c>
    </row>
    <row r="10" spans="1:3" x14ac:dyDescent="0.2">
      <c r="A10" t="s">
        <v>773</v>
      </c>
      <c r="B10" s="240">
        <v>305169</v>
      </c>
      <c r="C10" s="240">
        <v>125901</v>
      </c>
    </row>
    <row r="11" spans="1:3" x14ac:dyDescent="0.2">
      <c r="A11" t="s">
        <v>774</v>
      </c>
      <c r="B11" s="240">
        <v>22691</v>
      </c>
      <c r="C11" s="240">
        <v>15144</v>
      </c>
    </row>
    <row r="12" spans="1:3" x14ac:dyDescent="0.2">
      <c r="A12" t="s">
        <v>775</v>
      </c>
      <c r="B12" s="240">
        <v>4562</v>
      </c>
      <c r="C12" s="240">
        <v>349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332422</v>
      </c>
      <c r="C13" s="231">
        <f>SUM(C10:C12)</f>
        <v>141394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70972</v>
      </c>
      <c r="C18" s="229">
        <f>'DOE25'!G198+'DOE25'!G216+'DOE25'!G234+'DOE25'!G277+'DOE25'!G296+'DOE25'!G315</f>
        <v>24011</v>
      </c>
    </row>
    <row r="19" spans="1:3" x14ac:dyDescent="0.2">
      <c r="A19" t="s">
        <v>773</v>
      </c>
      <c r="B19" s="240">
        <v>38743</v>
      </c>
      <c r="C19" s="240">
        <v>13041</v>
      </c>
    </row>
    <row r="20" spans="1:3" x14ac:dyDescent="0.2">
      <c r="A20" t="s">
        <v>774</v>
      </c>
      <c r="B20" s="240">
        <v>31147</v>
      </c>
      <c r="C20" s="240">
        <v>10887</v>
      </c>
    </row>
    <row r="21" spans="1:3" x14ac:dyDescent="0.2">
      <c r="A21" t="s">
        <v>775</v>
      </c>
      <c r="B21" s="240">
        <v>1082</v>
      </c>
      <c r="C21" s="240">
        <v>83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70972</v>
      </c>
      <c r="C22" s="231">
        <f>SUM(C19:C21)</f>
        <v>24011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2175</v>
      </c>
      <c r="C36" s="235">
        <f>'DOE25'!G200+'DOE25'!G218+'DOE25'!G236+'DOE25'!G279+'DOE25'!G298+'DOE25'!G317</f>
        <v>405</v>
      </c>
    </row>
    <row r="37" spans="1:3" x14ac:dyDescent="0.2">
      <c r="A37" t="s">
        <v>773</v>
      </c>
      <c r="B37" s="240">
        <f>1375+800</f>
        <v>2175</v>
      </c>
      <c r="C37" s="240">
        <v>405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2175</v>
      </c>
      <c r="C40" s="231">
        <f>SUM(C37:C39)</f>
        <v>405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view="pageBreakPreview" zoomScale="60" zoomScaleNormal="100"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PIERMONT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1387217</v>
      </c>
      <c r="D5" s="20">
        <f>SUM('DOE25'!L197:L200)+SUM('DOE25'!L215:L218)+SUM('DOE25'!L233:L236)-F5-G5</f>
        <v>1377583</v>
      </c>
      <c r="E5" s="243"/>
      <c r="F5" s="255">
        <f>SUM('DOE25'!J197:J200)+SUM('DOE25'!J215:J218)+SUM('DOE25'!J233:J236)</f>
        <v>8659</v>
      </c>
      <c r="G5" s="53">
        <f>SUM('DOE25'!K197:K200)+SUM('DOE25'!K215:K218)+SUM('DOE25'!K233:K236)</f>
        <v>975</v>
      </c>
      <c r="H5" s="259"/>
    </row>
    <row r="6" spans="1:9" x14ac:dyDescent="0.2">
      <c r="A6" s="32">
        <v>2100</v>
      </c>
      <c r="B6" t="s">
        <v>795</v>
      </c>
      <c r="C6" s="245">
        <f t="shared" si="0"/>
        <v>72345</v>
      </c>
      <c r="D6" s="20">
        <f>'DOE25'!L202+'DOE25'!L220+'DOE25'!L238-F6-G6</f>
        <v>69219</v>
      </c>
      <c r="E6" s="243"/>
      <c r="F6" s="255">
        <f>'DOE25'!J202+'DOE25'!J220+'DOE25'!J238</f>
        <v>0</v>
      </c>
      <c r="G6" s="53">
        <f>'DOE25'!K202+'DOE25'!K220+'DOE25'!K238</f>
        <v>3126</v>
      </c>
      <c r="H6" s="259"/>
    </row>
    <row r="7" spans="1:9" x14ac:dyDescent="0.2">
      <c r="A7" s="32">
        <v>2200</v>
      </c>
      <c r="B7" t="s">
        <v>828</v>
      </c>
      <c r="C7" s="245">
        <f t="shared" si="0"/>
        <v>33919</v>
      </c>
      <c r="D7" s="20">
        <f>'DOE25'!L203+'DOE25'!L221+'DOE25'!L239-F7-G7</f>
        <v>24346</v>
      </c>
      <c r="E7" s="243"/>
      <c r="F7" s="255">
        <f>'DOE25'!J203+'DOE25'!J221+'DOE25'!J239</f>
        <v>9573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104698</v>
      </c>
      <c r="D8" s="243"/>
      <c r="E8" s="20">
        <f>'DOE25'!L204+'DOE25'!L222+'DOE25'!L240-F8-G8-D9-D11</f>
        <v>102506</v>
      </c>
      <c r="F8" s="255">
        <f>'DOE25'!J204+'DOE25'!J222+'DOE25'!J240</f>
        <v>0</v>
      </c>
      <c r="G8" s="53">
        <f>'DOE25'!K204+'DOE25'!K222+'DOE25'!K240</f>
        <v>2192</v>
      </c>
      <c r="H8" s="259"/>
    </row>
    <row r="9" spans="1:9" x14ac:dyDescent="0.2">
      <c r="A9" s="32">
        <v>2310</v>
      </c>
      <c r="B9" t="s">
        <v>812</v>
      </c>
      <c r="C9" s="245">
        <f t="shared" si="0"/>
        <v>7152</v>
      </c>
      <c r="D9" s="244">
        <v>7152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7750</v>
      </c>
      <c r="D10" s="243"/>
      <c r="E10" s="244">
        <v>7750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24555</v>
      </c>
      <c r="D11" s="244">
        <v>24555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119813</v>
      </c>
      <c r="D12" s="20">
        <f>'DOE25'!L205+'DOE25'!L223+'DOE25'!L241-F12-G12</f>
        <v>117305</v>
      </c>
      <c r="E12" s="243"/>
      <c r="F12" s="255">
        <f>'DOE25'!J205+'DOE25'!J223+'DOE25'!J241</f>
        <v>0</v>
      </c>
      <c r="G12" s="53">
        <f>'DOE25'!K205+'DOE25'!K223+'DOE25'!K241</f>
        <v>2508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122298</v>
      </c>
      <c r="D14" s="20">
        <f>'DOE25'!L207+'DOE25'!L225+'DOE25'!L243-F14-G14</f>
        <v>122298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91018</v>
      </c>
      <c r="D15" s="20">
        <f>'DOE25'!L208+'DOE25'!L226+'DOE25'!L244-F15-G15</f>
        <v>91018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3177</v>
      </c>
      <c r="D16" s="243"/>
      <c r="E16" s="20">
        <f>'DOE25'!L209+'DOE25'!L227+'DOE25'!L245-F16-G16</f>
        <v>3177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40584</v>
      </c>
      <c r="D29" s="20">
        <f>'DOE25'!L358+'DOE25'!L359+'DOE25'!L360-'DOE25'!I367-F29-G29</f>
        <v>40159</v>
      </c>
      <c r="E29" s="243"/>
      <c r="F29" s="255">
        <f>'DOE25'!J358+'DOE25'!J359+'DOE25'!J360</f>
        <v>0</v>
      </c>
      <c r="G29" s="53">
        <f>'DOE25'!K358+'DOE25'!K359+'DOE25'!K360</f>
        <v>425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20176</v>
      </c>
      <c r="D31" s="20">
        <f>'DOE25'!L290+'DOE25'!L309+'DOE25'!L328+'DOE25'!L333+'DOE25'!L334+'DOE25'!L335-F31-G31</f>
        <v>20176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1893811</v>
      </c>
      <c r="E33" s="246">
        <f>SUM(E5:E31)</f>
        <v>113433</v>
      </c>
      <c r="F33" s="246">
        <f>SUM(F5:F31)</f>
        <v>18232</v>
      </c>
      <c r="G33" s="246">
        <f>SUM(G5:G31)</f>
        <v>9226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113433</v>
      </c>
      <c r="E35" s="249"/>
    </row>
    <row r="36" spans="2:8" ht="12" thickTop="1" x14ac:dyDescent="0.2">
      <c r="B36" t="s">
        <v>809</v>
      </c>
      <c r="D36" s="20">
        <f>D33</f>
        <v>1893811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scale="9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5" activePane="bottomLeft" state="frozen"/>
      <selection activeCell="F46" sqref="F46"/>
      <selection pane="bottomLeft" activeCell="C49" sqref="C4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PIERMONT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207527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349802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2313</v>
      </c>
      <c r="E11" s="95">
        <f>'DOE25'!H12</f>
        <v>1293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1328</v>
      </c>
      <c r="D12" s="95">
        <f>'DOE25'!G13</f>
        <v>0</v>
      </c>
      <c r="E12" s="95">
        <f>'DOE25'!H13</f>
        <v>814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94888</v>
      </c>
      <c r="D13" s="95">
        <f>'DOE25'!G14</f>
        <v>328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931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304674</v>
      </c>
      <c r="D18" s="41">
        <f>SUM(D8:D17)</f>
        <v>2641</v>
      </c>
      <c r="E18" s="41">
        <f>SUM(E8:E17)</f>
        <v>2107</v>
      </c>
      <c r="F18" s="41">
        <f>SUM(F8:F17)</f>
        <v>0</v>
      </c>
      <c r="G18" s="41">
        <f>SUM(G8:G17)</f>
        <v>349802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3606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30714</v>
      </c>
      <c r="D23" s="95">
        <f>'DOE25'!G24</f>
        <v>2641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2107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34320</v>
      </c>
      <c r="D31" s="41">
        <f>SUM(D21:D30)</f>
        <v>2641</v>
      </c>
      <c r="E31" s="41">
        <f>SUM(E21:E30)</f>
        <v>2107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931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35000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41131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349802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193292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270354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349802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304674</v>
      </c>
      <c r="D51" s="41">
        <f>D50+D31</f>
        <v>2641</v>
      </c>
      <c r="E51" s="41">
        <f>E50+E31</f>
        <v>2107</v>
      </c>
      <c r="F51" s="41">
        <f>F50+F31</f>
        <v>0</v>
      </c>
      <c r="G51" s="41">
        <f>G50+G31</f>
        <v>349802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1435443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386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13917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9527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26497</v>
      </c>
      <c r="D61" s="95">
        <f>SUM('DOE25'!G98:G110)</f>
        <v>0</v>
      </c>
      <c r="E61" s="95">
        <f>SUM('DOE25'!H98:H110)</f>
        <v>892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26883</v>
      </c>
      <c r="D62" s="130">
        <f>SUM(D57:D61)</f>
        <v>9527</v>
      </c>
      <c r="E62" s="130">
        <f>SUM(E57:E61)</f>
        <v>892</v>
      </c>
      <c r="F62" s="130">
        <f>SUM(F57:F61)</f>
        <v>0</v>
      </c>
      <c r="G62" s="130">
        <f>SUM(G57:G61)</f>
        <v>13917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1462326</v>
      </c>
      <c r="D63" s="22">
        <f>D56+D62</f>
        <v>9527</v>
      </c>
      <c r="E63" s="22">
        <f>E56+E62</f>
        <v>892</v>
      </c>
      <c r="F63" s="22">
        <f>F56+F62</f>
        <v>0</v>
      </c>
      <c r="G63" s="22">
        <f>G56+G62</f>
        <v>13917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276378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209834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2787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488999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159562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10720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307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170282</v>
      </c>
      <c r="D78" s="130">
        <f>SUM(D72:D77)</f>
        <v>307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659281</v>
      </c>
      <c r="D81" s="130">
        <f>SUM(D79:D80)+D78+D70</f>
        <v>307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11164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87458</v>
      </c>
      <c r="D88" s="95">
        <f>SUM('DOE25'!G153:G161)</f>
        <v>7147</v>
      </c>
      <c r="E88" s="95">
        <f>SUM('DOE25'!H153:H161)</f>
        <v>8120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1341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88799</v>
      </c>
      <c r="D91" s="131">
        <f>SUM(D85:D90)</f>
        <v>7147</v>
      </c>
      <c r="E91" s="131">
        <f>SUM(E85:E90)</f>
        <v>19284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23684</v>
      </c>
      <c r="E96" s="95">
        <f>'DOE25'!H179</f>
        <v>0</v>
      </c>
      <c r="F96" s="95">
        <f>'DOE25'!I179</f>
        <v>0</v>
      </c>
      <c r="G96" s="95">
        <f>'DOE25'!J179</f>
        <v>38000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3984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3984</v>
      </c>
      <c r="D103" s="86">
        <f>SUM(D93:D102)</f>
        <v>23684</v>
      </c>
      <c r="E103" s="86">
        <f>SUM(E93:E102)</f>
        <v>0</v>
      </c>
      <c r="F103" s="86">
        <f>SUM(F93:F102)</f>
        <v>0</v>
      </c>
      <c r="G103" s="86">
        <f>SUM(G93:G102)</f>
        <v>38000</v>
      </c>
    </row>
    <row r="104" spans="1:7" ht="12.75" thickTop="1" thickBot="1" x14ac:dyDescent="0.25">
      <c r="A104" s="33" t="s">
        <v>759</v>
      </c>
      <c r="C104" s="86">
        <f>C63+C81+C91+C103</f>
        <v>2214390</v>
      </c>
      <c r="D104" s="86">
        <f>D63+D81+D91+D103</f>
        <v>40665</v>
      </c>
      <c r="E104" s="86">
        <f>E63+E81+E91+E103</f>
        <v>20176</v>
      </c>
      <c r="F104" s="86">
        <f>F63+F81+F91+F103</f>
        <v>0</v>
      </c>
      <c r="G104" s="86">
        <f>G63+G81+G103</f>
        <v>51917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919768</v>
      </c>
      <c r="D109" s="24" t="s">
        <v>286</v>
      </c>
      <c r="E109" s="95">
        <f>('DOE25'!L276)+('DOE25'!L295)+('DOE25'!L314)</f>
        <v>11164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442294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21058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4097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1387217</v>
      </c>
      <c r="D115" s="86">
        <f>SUM(D109:D114)</f>
        <v>0</v>
      </c>
      <c r="E115" s="86">
        <f>SUM(E109:E114)</f>
        <v>11164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72345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33919</v>
      </c>
      <c r="D119" s="24" t="s">
        <v>286</v>
      </c>
      <c r="E119" s="95">
        <f>+('DOE25'!L282)+('DOE25'!L301)+('DOE25'!L320)</f>
        <v>9012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136405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119813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122298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91018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3177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40665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578975</v>
      </c>
      <c r="D128" s="86">
        <f>SUM(D118:D127)</f>
        <v>40665</v>
      </c>
      <c r="E128" s="86">
        <f>SUM(E118:E127)</f>
        <v>9012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3984</v>
      </c>
    </row>
    <row r="135" spans="1:7" x14ac:dyDescent="0.2">
      <c r="A135" t="s">
        <v>233</v>
      </c>
      <c r="B135" s="32" t="s">
        <v>234</v>
      </c>
      <c r="C135" s="95">
        <f>'DOE25'!L263</f>
        <v>23684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71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51846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-13917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61684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3984</v>
      </c>
    </row>
    <row r="145" spans="1:9" ht="12.75" thickTop="1" thickBot="1" x14ac:dyDescent="0.25">
      <c r="A145" s="33" t="s">
        <v>244</v>
      </c>
      <c r="C145" s="86">
        <f>(C115+C128+C144)</f>
        <v>2027876</v>
      </c>
      <c r="D145" s="86">
        <f>(D115+D128+D144)</f>
        <v>40665</v>
      </c>
      <c r="E145" s="86">
        <f>(E115+E128+E144)</f>
        <v>20176</v>
      </c>
      <c r="F145" s="86">
        <f>(F115+F128+F144)</f>
        <v>0</v>
      </c>
      <c r="G145" s="86">
        <f>(G115+G128+G144)</f>
        <v>3984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PIERMONT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18116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18116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930932</v>
      </c>
      <c r="D10" s="182">
        <f>ROUND((C10/$C$28)*100,1)</f>
        <v>46.1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442294</v>
      </c>
      <c r="D11" s="182">
        <f>ROUND((C11/$C$28)*100,1)</f>
        <v>21.9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21058</v>
      </c>
      <c r="D12" s="182">
        <f>ROUND((C12/$C$28)*100,1)</f>
        <v>1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4097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72345</v>
      </c>
      <c r="D15" s="182">
        <f t="shared" ref="D15:D27" si="0">ROUND((C15/$C$28)*100,1)</f>
        <v>3.6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42931</v>
      </c>
      <c r="D16" s="182">
        <f t="shared" si="0"/>
        <v>2.1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139582</v>
      </c>
      <c r="D17" s="182">
        <f t="shared" si="0"/>
        <v>6.9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119813</v>
      </c>
      <c r="D18" s="182">
        <f t="shared" si="0"/>
        <v>5.9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122298</v>
      </c>
      <c r="D20" s="182">
        <f t="shared" si="0"/>
        <v>6.1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91018</v>
      </c>
      <c r="D21" s="182">
        <f t="shared" si="0"/>
        <v>4.5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31138</v>
      </c>
      <c r="D27" s="182">
        <f t="shared" si="0"/>
        <v>1.5</v>
      </c>
    </row>
    <row r="28" spans="1:4" x14ac:dyDescent="0.2">
      <c r="B28" s="187" t="s">
        <v>717</v>
      </c>
      <c r="C28" s="180">
        <f>SUM(C10:C27)</f>
        <v>2017506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2017506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1435443</v>
      </c>
      <c r="D35" s="182">
        <f t="shared" ref="D35:D40" si="1">ROUND((C35/$C$41)*100,1)</f>
        <v>63.7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41692</v>
      </c>
      <c r="D36" s="182">
        <f t="shared" si="1"/>
        <v>1.9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486212</v>
      </c>
      <c r="D37" s="182">
        <f t="shared" si="1"/>
        <v>21.6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173376</v>
      </c>
      <c r="D38" s="182">
        <f t="shared" si="1"/>
        <v>7.7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115230</v>
      </c>
      <c r="D39" s="182">
        <f t="shared" si="1"/>
        <v>5.0999999999999996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2251953</v>
      </c>
      <c r="D41" s="184">
        <f>SUM(D35:D40)</f>
        <v>100.00000000000001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PIERMONT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2018-08-27T16:18:27Z</cp:lastPrinted>
  <dcterms:created xsi:type="dcterms:W3CDTF">1997-12-04T19:04:30Z</dcterms:created>
  <dcterms:modified xsi:type="dcterms:W3CDTF">2018-11-30T15:54:16Z</dcterms:modified>
</cp:coreProperties>
</file>