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9" i="13" l="1"/>
  <c r="B39" i="12"/>
  <c r="B21" i="12"/>
  <c r="B20" i="12"/>
  <c r="B19" i="12"/>
  <c r="B12" i="12"/>
  <c r="J472" i="1"/>
  <c r="J468" i="1"/>
  <c r="J594" i="1" l="1"/>
  <c r="H594" i="1"/>
  <c r="J595" i="1"/>
  <c r="H595" i="1"/>
  <c r="H528" i="1"/>
  <c r="H526" i="1"/>
  <c r="H360" i="1"/>
  <c r="I358" i="1"/>
  <c r="H358" i="1"/>
  <c r="H276" i="1"/>
  <c r="K203" i="1"/>
  <c r="H255" i="1"/>
  <c r="H244" i="1"/>
  <c r="H243" i="1"/>
  <c r="H241" i="1"/>
  <c r="H240" i="1"/>
  <c r="K239" i="1"/>
  <c r="H239" i="1"/>
  <c r="H238" i="1"/>
  <c r="H236" i="1"/>
  <c r="H233" i="1"/>
  <c r="H208" i="1"/>
  <c r="H207" i="1"/>
  <c r="H205" i="1"/>
  <c r="H204" i="1"/>
  <c r="H202" i="1"/>
  <c r="H197" i="1"/>
  <c r="H150" i="1" l="1"/>
  <c r="H23" i="1"/>
  <c r="H24" i="1"/>
  <c r="G48" i="1"/>
  <c r="G24" i="1"/>
  <c r="F186" i="1"/>
  <c r="F110" i="1"/>
  <c r="F50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C125" i="2" s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C15" i="10" s="1"/>
  <c r="F7" i="13"/>
  <c r="G7" i="13"/>
  <c r="L203" i="1"/>
  <c r="L221" i="1"/>
  <c r="L239" i="1"/>
  <c r="F12" i="13"/>
  <c r="G12" i="13"/>
  <c r="L205" i="1"/>
  <c r="L223" i="1"/>
  <c r="L241" i="1"/>
  <c r="D12" i="13" s="1"/>
  <c r="C12" i="13" s="1"/>
  <c r="F14" i="13"/>
  <c r="G14" i="13"/>
  <c r="L207" i="1"/>
  <c r="L225" i="1"/>
  <c r="L243" i="1"/>
  <c r="F15" i="13"/>
  <c r="G15" i="13"/>
  <c r="L208" i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E120" i="2" s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9" i="10"/>
  <c r="L250" i="1"/>
  <c r="L332" i="1"/>
  <c r="L254" i="1"/>
  <c r="C25" i="10"/>
  <c r="L268" i="1"/>
  <c r="L269" i="1"/>
  <c r="L349" i="1"/>
  <c r="L350" i="1"/>
  <c r="I665" i="1"/>
  <c r="I670" i="1"/>
  <c r="L229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C78" i="2" s="1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E112" i="2"/>
  <c r="C113" i="2"/>
  <c r="E113" i="2"/>
  <c r="C114" i="2"/>
  <c r="E114" i="2"/>
  <c r="D115" i="2"/>
  <c r="F115" i="2"/>
  <c r="G115" i="2"/>
  <c r="C118" i="2"/>
  <c r="E118" i="2"/>
  <c r="C120" i="2"/>
  <c r="E121" i="2"/>
  <c r="C122" i="2"/>
  <c r="E122" i="2"/>
  <c r="E123" i="2"/>
  <c r="C124" i="2"/>
  <c r="E124" i="2"/>
  <c r="E125" i="2"/>
  <c r="D127" i="2"/>
  <c r="D128" i="2" s="1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J645" i="1" s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G461" i="1" s="1"/>
  <c r="H640" i="1" s="1"/>
  <c r="H460" i="1"/>
  <c r="I460" i="1"/>
  <c r="I461" i="1" s="1"/>
  <c r="H642" i="1" s="1"/>
  <c r="F461" i="1"/>
  <c r="H461" i="1"/>
  <c r="F470" i="1"/>
  <c r="G470" i="1"/>
  <c r="H470" i="1"/>
  <c r="I470" i="1"/>
  <c r="J470" i="1"/>
  <c r="F474" i="1"/>
  <c r="F476" i="1" s="1"/>
  <c r="H622" i="1" s="1"/>
  <c r="J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G545" i="1" s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0" i="1"/>
  <c r="G641" i="1"/>
  <c r="H641" i="1"/>
  <c r="G643" i="1"/>
  <c r="H643" i="1"/>
  <c r="G644" i="1"/>
  <c r="G645" i="1"/>
  <c r="H647" i="1"/>
  <c r="G649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G164" i="2"/>
  <c r="C18" i="2"/>
  <c r="C26" i="10"/>
  <c r="L328" i="1"/>
  <c r="L351" i="1"/>
  <c r="A31" i="12"/>
  <c r="C70" i="2"/>
  <c r="A40" i="12"/>
  <c r="D62" i="2"/>
  <c r="D63" i="2" s="1"/>
  <c r="D18" i="13"/>
  <c r="C18" i="13" s="1"/>
  <c r="D15" i="13"/>
  <c r="C15" i="13" s="1"/>
  <c r="D18" i="2"/>
  <c r="D17" i="13"/>
  <c r="C17" i="13" s="1"/>
  <c r="D6" i="13"/>
  <c r="C6" i="13" s="1"/>
  <c r="C91" i="2"/>
  <c r="F78" i="2"/>
  <c r="F81" i="2" s="1"/>
  <c r="D31" i="2"/>
  <c r="D50" i="2"/>
  <c r="G157" i="2"/>
  <c r="F18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E13" i="13"/>
  <c r="C13" i="13" s="1"/>
  <c r="E78" i="2"/>
  <c r="E81" i="2" s="1"/>
  <c r="H112" i="1"/>
  <c r="J641" i="1"/>
  <c r="J639" i="1"/>
  <c r="J571" i="1"/>
  <c r="K571" i="1"/>
  <c r="L433" i="1"/>
  <c r="L419" i="1"/>
  <c r="D81" i="2"/>
  <c r="I169" i="1"/>
  <c r="H169" i="1"/>
  <c r="G552" i="1"/>
  <c r="J643" i="1"/>
  <c r="I476" i="1"/>
  <c r="H625" i="1" s="1"/>
  <c r="J625" i="1" s="1"/>
  <c r="F169" i="1"/>
  <c r="J140" i="1"/>
  <c r="F571" i="1"/>
  <c r="I552" i="1"/>
  <c r="K549" i="1"/>
  <c r="K550" i="1"/>
  <c r="G22" i="2"/>
  <c r="K545" i="1"/>
  <c r="J552" i="1"/>
  <c r="H552" i="1"/>
  <c r="C29" i="10"/>
  <c r="H140" i="1"/>
  <c r="L401" i="1"/>
  <c r="C139" i="2" s="1"/>
  <c r="L393" i="1"/>
  <c r="A13" i="12"/>
  <c r="F22" i="13"/>
  <c r="C22" i="13" s="1"/>
  <c r="H25" i="13"/>
  <c r="C25" i="13" s="1"/>
  <c r="H571" i="1"/>
  <c r="L560" i="1"/>
  <c r="J545" i="1"/>
  <c r="G192" i="1"/>
  <c r="H192" i="1"/>
  <c r="F552" i="1"/>
  <c r="C35" i="10"/>
  <c r="L309" i="1"/>
  <c r="D5" i="13"/>
  <c r="C5" i="13" s="1"/>
  <c r="E16" i="13"/>
  <c r="C16" i="13" s="1"/>
  <c r="L570" i="1"/>
  <c r="I571" i="1"/>
  <c r="I545" i="1"/>
  <c r="J636" i="1"/>
  <c r="G36" i="2"/>
  <c r="L565" i="1"/>
  <c r="C138" i="2"/>
  <c r="H33" i="13"/>
  <c r="F112" i="1" l="1"/>
  <c r="K338" i="1"/>
  <c r="K352" i="1" s="1"/>
  <c r="H338" i="1"/>
  <c r="H352" i="1" s="1"/>
  <c r="E119" i="2"/>
  <c r="E128" i="2" s="1"/>
  <c r="J644" i="1"/>
  <c r="J640" i="1"/>
  <c r="L427" i="1"/>
  <c r="L434" i="1" s="1"/>
  <c r="G638" i="1" s="1"/>
  <c r="J638" i="1" s="1"/>
  <c r="J476" i="1"/>
  <c r="H626" i="1" s="1"/>
  <c r="J651" i="1"/>
  <c r="K598" i="1"/>
  <c r="G647" i="1" s="1"/>
  <c r="J647" i="1" s="1"/>
  <c r="J649" i="1"/>
  <c r="K551" i="1"/>
  <c r="H545" i="1"/>
  <c r="L524" i="1"/>
  <c r="L545" i="1" s="1"/>
  <c r="K552" i="1"/>
  <c r="J634" i="1"/>
  <c r="F661" i="1"/>
  <c r="G661" i="1"/>
  <c r="H661" i="1"/>
  <c r="L362" i="1"/>
  <c r="C27" i="10" s="1"/>
  <c r="D145" i="2"/>
  <c r="G338" i="1"/>
  <c r="G352" i="1" s="1"/>
  <c r="F338" i="1"/>
  <c r="F352" i="1" s="1"/>
  <c r="E109" i="2"/>
  <c r="E115" i="2" s="1"/>
  <c r="L290" i="1"/>
  <c r="C21" i="10"/>
  <c r="D14" i="13"/>
  <c r="C14" i="13" s="1"/>
  <c r="C121" i="2"/>
  <c r="C17" i="10"/>
  <c r="C16" i="10"/>
  <c r="K257" i="1"/>
  <c r="K271" i="1" s="1"/>
  <c r="C13" i="10"/>
  <c r="H257" i="1"/>
  <c r="H271" i="1" s="1"/>
  <c r="C11" i="10"/>
  <c r="L247" i="1"/>
  <c r="H660" i="1" s="1"/>
  <c r="J257" i="1"/>
  <c r="J271" i="1" s="1"/>
  <c r="I257" i="1"/>
  <c r="I271" i="1" s="1"/>
  <c r="G257" i="1"/>
  <c r="G271" i="1" s="1"/>
  <c r="C10" i="10"/>
  <c r="F257" i="1"/>
  <c r="F271" i="1" s="1"/>
  <c r="F662" i="1"/>
  <c r="I662" i="1" s="1"/>
  <c r="C123" i="2"/>
  <c r="C20" i="10"/>
  <c r="C18" i="10"/>
  <c r="E8" i="13"/>
  <c r="C8" i="13" s="1"/>
  <c r="C119" i="2"/>
  <c r="D7" i="13"/>
  <c r="C7" i="13" s="1"/>
  <c r="C112" i="2"/>
  <c r="C110" i="2"/>
  <c r="L211" i="1"/>
  <c r="C109" i="2"/>
  <c r="G476" i="1"/>
  <c r="H623" i="1" s="1"/>
  <c r="J623" i="1" s="1"/>
  <c r="H476" i="1"/>
  <c r="H624" i="1" s="1"/>
  <c r="J624" i="1" s="1"/>
  <c r="H52" i="1"/>
  <c r="H619" i="1" s="1"/>
  <c r="J619" i="1" s="1"/>
  <c r="C81" i="2"/>
  <c r="C62" i="2"/>
  <c r="C63" i="2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C36" i="10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I663" i="1"/>
  <c r="G635" i="1"/>
  <c r="J635" i="1" s="1"/>
  <c r="F193" i="1" l="1"/>
  <c r="G627" i="1" s="1"/>
  <c r="J627" i="1" s="1"/>
  <c r="E145" i="2"/>
  <c r="H646" i="1"/>
  <c r="G104" i="2"/>
  <c r="G664" i="1"/>
  <c r="G667" i="1" s="1"/>
  <c r="I661" i="1"/>
  <c r="H664" i="1"/>
  <c r="H667" i="1" s="1"/>
  <c r="D31" i="13"/>
  <c r="C31" i="13" s="1"/>
  <c r="L338" i="1"/>
  <c r="L352" i="1" s="1"/>
  <c r="G633" i="1" s="1"/>
  <c r="J633" i="1" s="1"/>
  <c r="F660" i="1"/>
  <c r="F664" i="1" s="1"/>
  <c r="F672" i="1" s="1"/>
  <c r="C4" i="10" s="1"/>
  <c r="C128" i="2"/>
  <c r="H648" i="1"/>
  <c r="J648" i="1" s="1"/>
  <c r="C28" i="10"/>
  <c r="D19" i="10" s="1"/>
  <c r="E33" i="13"/>
  <c r="D35" i="13" s="1"/>
  <c r="C115" i="2"/>
  <c r="L257" i="1"/>
  <c r="L271" i="1" s="1"/>
  <c r="G632" i="1" s="1"/>
  <c r="J632" i="1" s="1"/>
  <c r="C104" i="2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G672" i="1"/>
  <c r="C5" i="10" s="1"/>
  <c r="D33" i="13"/>
  <c r="D36" i="13" s="1"/>
  <c r="I660" i="1"/>
  <c r="I664" i="1" s="1"/>
  <c r="I672" i="1" s="1"/>
  <c r="C7" i="10" s="1"/>
  <c r="F667" i="1"/>
  <c r="C145" i="2"/>
  <c r="D10" i="10"/>
  <c r="D22" i="10"/>
  <c r="D27" i="10"/>
  <c r="D18" i="10"/>
  <c r="D26" i="10"/>
  <c r="D24" i="10"/>
  <c r="D13" i="10"/>
  <c r="C30" i="10"/>
  <c r="D21" i="10"/>
  <c r="D12" i="10"/>
  <c r="D11" i="10"/>
  <c r="D23" i="10"/>
  <c r="D17" i="10"/>
  <c r="D16" i="10"/>
  <c r="D20" i="10"/>
  <c r="D25" i="10"/>
  <c r="D15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<sst xmlns="http://schemas.openxmlformats.org/spreadsheetml/2006/main" count="3957" uniqueCount="913">
  <si>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</si>
  <si>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</si>
  <si>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</si>
  <si>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</si>
  <si>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</si>
  <si>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</si>
  <si>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</si>
  <si>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</si>
  <si>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</si>
  <si>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</si>
  <si>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</si>
  <si>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</si>
  <si>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</si>
  <si>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</si>
  <si>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</si>
  <si>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</si>
  <si>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</si>
  <si>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</si>
  <si>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</si>
  <si>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</si>
  <si>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</si>
  <si>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</si>
  <si>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</si>
  <si>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</si>
  <si>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</si>
  <si>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</si>
  <si>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</si>
  <si>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</si>
  <si>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</si>
  <si>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</si>
  <si>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</si>
  <si>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</si>
  <si>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</si>
  <si>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</si>
  <si>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</si>
  <si>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</si>
  <si>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</si>
  <si>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</si>
  <si>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</si>
  <si>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</si>
  <si>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</si>
  <si>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</si>
  <si>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</si>
  <si>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</si>
  <si>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</si>
  <si>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</si>
  <si>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</si>
  <si>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</si>
  <si>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</si>
  <si>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</si>
  <si>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</si>
  <si>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</si>
  <si>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</si>
  <si>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</si>
  <si>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</si>
  <si>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</si>
  <si>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</si>
  <si>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</si>
  <si>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</si>
  <si>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</si>
  <si>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</si>
  <si>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</si>
  <si>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</si>
  <si>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</si>
  <si>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</si>
  <si>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</si>
  <si>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</si>
  <si>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</si>
  <si>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</si>
  <si>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</si>
  <si>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</si>
  <si>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</si>
  <si>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</si>
  <si>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</si>
  <si>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</si>
  <si>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</si>
  <si>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</si>
  <si>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</si>
  <si>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</si>
  <si>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</si>
  <si>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</si>
  <si>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</si>
  <si>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</si>
  <si>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</si>
  <si>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</si>
  <si>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</si>
  <si>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</si>
  <si>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</si>
  <si>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</si>
  <si>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</si>
  <si>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</si>
  <si>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</si>
  <si>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</si>
  <si>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</si>
  <si>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</si>
  <si>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</si>
  <si>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</si>
  <si>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</si>
  <si>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</si>
  <si>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</si>
  <si>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</si>
  <si>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</si>
  <si>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</si>
  <si>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</si>
  <si>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</si>
  <si>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</si>
  <si>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</si>
  <si>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</si>
  <si>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</si>
  <si>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</si>
  <si>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</si>
  <si>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</si>
  <si>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</si>
  <si>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</si>
  <si>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</si>
  <si>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</si>
  <si>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</si>
  <si>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</si>
  <si>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</si>
  <si>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</si>
  <si>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</si>
  <si>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</si>
  <si>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</si>
  <si>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</si>
  <si>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</si>
  <si>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</si>
  <si>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</si>
  <si>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</si>
  <si>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</si>
  <si>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</si>
  <si>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</si>
  <si>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</si>
  <si>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</si>
  <si>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</si>
  <si>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</si>
  <si>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</si>
  <si>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</si>
  <si>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</si>
  <si>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</si>
  <si>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</si>
  <si>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</si>
  <si>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</si>
  <si>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</si>
  <si>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</si>
  <si>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</si>
  <si>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</si>
  <si>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</si>
  <si>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</si>
  <si>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</si>
  <si>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</si>
  <si>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</si>
  <si>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</si>
  <si>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</si>
  <si>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</si>
  <si>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</si>
  <si>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</si>
  <si>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</si>
  <si>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</si>
  <si>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</si>
  <si>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</si>
  <si>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</si>
  <si>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</si>
  <si>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</si>
  <si>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</si>
  <si>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</si>
  <si>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</si>
  <si>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</si>
  <si>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</si>
  <si>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</si>
  <si>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</si>
  <si>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</si>
  <si>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</si>
  <si>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</si>
  <si>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</si>
  <si>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</si>
  <si>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</si>
  <si>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</si>
  <si>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</si>
  <si>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</si>
  <si>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</si>
  <si>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</si>
  <si>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</si>
  <si>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</si>
  <si>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</si>
  <si>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</si>
  <si>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</si>
  <si>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</si>
  <si>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</si>
  <si>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</si>
  <si>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</si>
  <si>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</si>
  <si>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</si>
  <si>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</si>
  <si>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</si>
  <si>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</si>
  <si>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</si>
  <si>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</si>
  <si>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</si>
  <si>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</si>
  <si>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</si>
  <si>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</si>
  <si>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</si>
  <si>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</si>
  <si>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</si>
  <si>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</si>
  <si>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</si>
  <si>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</si>
  <si>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</si>
  <si>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</si>
  <si>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</si>
  <si>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</si>
  <si>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</si>
  <si>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</si>
  <si>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</si>
  <si>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</si>
  <si>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</si>
  <si>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</si>
  <si>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</si>
  <si>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</si>
  <si>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</si>
  <si>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</si>
  <si>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</si>
  <si>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</si>
  <si>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</si>
  <si>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</si>
  <si>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</si>
  <si>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</si>
  <si>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</si>
  <si>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</si>
  <si>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</si>
  <si>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</si>
  <si>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</si>
  <si>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</si>
  <si>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</si>
  <si>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</si>
  <si>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</si>
  <si>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</si>
  <si>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</si>
  <si>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</si>
  <si>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</si>
  <si>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</si>
  <si>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</si>
  <si>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</si>
  <si>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</si>
  <si>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</si>
  <si>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</si>
  <si>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</si>
  <si>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</si>
  <si>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</si>
  <si>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</si>
  <si>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</si>
  <si>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</si>
  <si>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</si>
  <si>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</si>
  <si>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</si>
  <si>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</si>
  <si>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</si>
  <si>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</si>
  <si>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</si>
  <si>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</si>
  <si>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</si>
  <si>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</si>
  <si>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</si>
  <si>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</si>
  <si>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</si>
  <si>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</si>
  <si>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</si>
  <si>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</si>
  <si>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</si>
  <si>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</si>
  <si>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</si>
  <si>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</si>
  <si>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</si>
  <si>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</si>
  <si>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</si>
  <si>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</si>
  <si>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</si>
  <si>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</si>
  <si>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</si>
  <si>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</si>
  <si>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</si>
  <si>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</si>
  <si>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</si>
  <si>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</si>
  <si>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</si>
  <si>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</si>
  <si>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</si>
  <si>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</si>
  <si>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</si>
  <si>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</si>
  <si>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</si>
  <si>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</si>
  <si>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</si>
  <si>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</si>
  <si>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</si>
  <si>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</si>
  <si>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</si>
  <si>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</si>
  <si>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</si>
  <si>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</si>
  <si>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</si>
  <si>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</si>
  <si>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</si>
  <si>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</si>
  <si>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</si>
  <si>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</si>
  <si>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</si>
  <si>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</si>
  <si>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</si>
  <si>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</si>
  <si>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</si>
  <si>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</si>
  <si>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</si>
  <si>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</si>
  <si>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</si>
  <si>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</si>
  <si>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</si>
  <si>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</si>
  <si>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</si>
  <si>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</si>
  <si>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</si>
  <si>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</si>
  <si>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</si>
  <si>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</si>
  <si>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</si>
  <si>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</si>
  <si>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</si>
  <si>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</si>
  <si>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</si>
  <si>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</si>
  <si>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</si>
  <si>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</si>
  <si>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</si>
  <si>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</si>
  <si>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</si>
  <si>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</si>
  <si>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</si>
  <si>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</si>
  <si>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</si>
  <si>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</si>
  <si>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</si>
  <si>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</si>
  <si>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</si>
  <si>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</si>
  <si>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</si>
  <si>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</si>
  <si>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</si>
  <si>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</si>
  <si>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</si>
  <si>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</si>
  <si>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</si>
  <si>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</si>
  <si>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</si>
  <si>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</si>
  <si>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</si>
  <si>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</si>
  <si>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</si>
  <si>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</si>
  <si>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</si>
  <si>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</si>
  <si>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</si>
  <si>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</si>
  <si>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</si>
  <si>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</si>
  <si>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</si>
  <si>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</si>
  <si>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</si>
  <si>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</si>
  <si>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</si>
  <si>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</si>
  <si>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</si>
  <si>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</si>
  <si>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</si>
  <si>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</si>
  <si>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</si>
  <si>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</si>
  <si>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</si>
  <si>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</si>
  <si>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</si>
  <si>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</si>
  <si>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</si>
  <si>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</si>
  <si>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</si>
  <si>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</si>
  <si>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</si>
  <si>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</si>
  <si>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</si>
  <si>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</si>
  <si>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</si>
  <si>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</si>
  <si>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</si>
  <si>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</si>
  <si>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</si>
  <si>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</si>
  <si>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</si>
  <si>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</si>
  <si>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</si>
  <si>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</si>
  <si>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</si>
  <si>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</si>
  <si>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</si>
  <si>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</si>
  <si>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</si>
  <si>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</si>
  <si>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</si>
  <si>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</si>
  <si>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</si>
  <si>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</si>
  <si>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</si>
  <si>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</si>
  <si>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</si>
  <si>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</si>
  <si>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</si>
  <si>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</si>
  <si>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</si>
  <si>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</si>
  <si>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</si>
  <si>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</si>
  <si>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</si>
  <si>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</si>
  <si>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</si>
  <si>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</si>
  <si>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</si>
  <si>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</si>
  <si>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</si>
  <si>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</si>
  <si>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</si>
  <si>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</si>
  <si>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</si>
  <si>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</si>
  <si>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</si>
  <si>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</si>
  <si>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</si>
  <si>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</si>
  <si>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</si>
  <si>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</si>
  <si>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</si>
  <si>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</si>
  <si>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</si>
  <si>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</si>
  <si>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</si>
  <si>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</si>
  <si>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</si>
  <si>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</si>
  <si>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</si>
  <si>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</si>
  <si>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</si>
  <si>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</si>
  <si>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</si>
  <si>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</si>
  <si>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</si>
  <si>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</si>
  <si>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</si>
  <si>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</si>
  <si>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</si>
  <si>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</si>
  <si>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</si>
  <si>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</si>
  <si>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</si>
  <si>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</si>
  <si>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</si>
  <si>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</si>
  <si>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</si>
  <si>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</si>
  <si>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</si>
  <si>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</si>
  <si>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</si>
  <si>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</si>
  <si>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</si>
  <si>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</si>
  <si>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</si>
  <si>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</si>
  <si>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</si>
  <si>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</si>
  <si>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</si>
  <si>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</si>
  <si>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</si>
  <si>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</si>
  <si>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</si>
  <si>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</si>
  <si>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</si>
  <si>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</si>
  <si>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</si>
  <si>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</si>
  <si>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</si>
  <si>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</si>
  <si>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</si>
  <si>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</si>
  <si>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</si>
  <si>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</si>
  <si>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</si>
  <si>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</si>
  <si>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</si>
  <si>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</si>
  <si>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</si>
  <si>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</si>
  <si>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</si>
  <si>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</si>
  <si>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</si>
  <si>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</si>
  <si>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</si>
  <si>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</si>
  <si>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</si>
  <si>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</si>
  <si>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</si>
  <si>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</si>
  <si>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</si>
  <si>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</si>
  <si>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</si>
  <si>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</si>
  <si>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</si>
  <si>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</si>
  <si>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</si>
  <si>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</si>
  <si>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</si>
  <si>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</si>
  <si>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</si>
  <si>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</si>
  <si>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</si>
  <si>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</si>
  <si>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</si>
  <si>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</si>
  <si>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</si>
  <si>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</si>
  <si>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</si>
  <si>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</si>
  <si>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</si>
  <si>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</si>
  <si>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</si>
  <si>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</si>
  <si>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</si>
  <si>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</si>
  <si>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</si>
  <si>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</si>
  <si>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</si>
  <si>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</si>
  <si>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</si>
  <si>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</si>
  <si>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</si>
  <si>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</si>
  <si>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</si>
  <si>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</si>
  <si>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</si>
  <si>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</si>
  <si>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</si>
  <si>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</si>
  <si>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</si>
  <si>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</si>
  <si>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</si>
  <si>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</si>
  <si>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</si>
  <si>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</si>
  <si>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</si>
  <si>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</si>
  <si>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</si>
  <si>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</si>
  <si>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</si>
  <si>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</si>
  <si>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</si>
  <si>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</si>
  <si>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</si>
  <si>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</si>
  <si>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</si>
  <si>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</si>
  <si>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</si>
  <si>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</si>
  <si>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</si>
  <si>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</si>
  <si>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</si>
  <si>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</si>
  <si>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</si>
  <si>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</si>
  <si>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</si>
  <si>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</si>
  <si>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</si>
  <si>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</si>
  <si>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</si>
  <si>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</si>
  <si>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</si>
  <si>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</si>
  <si>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</si>
  <si>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</si>
  <si>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</si>
  <si>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</si>
  <si>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</si>
  <si>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</si>
  <si>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</si>
  <si>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</si>
  <si>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</si>
  <si>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</si>
  <si>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</si>
  <si>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</si>
  <si>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</si>
  <si>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</si>
  <si>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</si>
  <si>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</si>
  <si>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</si>
  <si>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</si>
  <si>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</si>
  <si>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</si>
  <si>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</si>
  <si>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</si>
  <si>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</si>
  <si>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</si>
  <si>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</si>
  <si>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</si>
  <si>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</si>
  <si>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</si>
  <si>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</si>
  <si>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</si>
  <si>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</si>
  <si>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</si>
  <si>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</si>
  <si>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</si>
  <si>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</si>
  <si>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</si>
  <si>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</si>
  <si>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</si>
  <si>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</si>
  <si>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</si>
  <si>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</si>
  <si>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</si>
  <si>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</si>
  <si>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</si>
  <si>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</si>
  <si>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</si>
  <si>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</si>
  <si>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</si>
  <si>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</si>
  <si>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</si>
  <si>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</si>
  <si>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</si>
  <si>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</si>
  <si>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</si>
  <si>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</si>
  <si>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</si>
  <si>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</si>
  <si>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</si>
  <si>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</si>
  <si>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</si>
  <si>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</si>
  <si>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</si>
  <si>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</si>
  <si>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</si>
  <si>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</si>
  <si>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</si>
  <si>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</si>
  <si>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</si>
  <si>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</si>
  <si>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</si>
  <si>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</si>
  <si>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</si>
  <si>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</si>
  <si>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</si>
  <si>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</si>
  <si>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</si>
  <si>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</si>
  <si>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</si>
  <si>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</si>
  <si>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</si>
  <si>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</si>
  <si>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</si>
  <si>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</si>
  <si>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</si>
  <si>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</si>
  <si>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</si>
  <si>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</si>
  <si>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</si>
  <si>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</si>
  <si>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</si>
  <si>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</si>
  <si>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</si>
  <si>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</si>
  <si>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</si>
  <si>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</si>
  <si>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</si>
  <si>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</si>
  <si>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</si>
  <si>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</si>
  <si>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</si>
  <si>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</si>
  <si>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</si>
  <si>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</si>
  <si>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</si>
  <si>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</si>
  <si>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</si>
  <si>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</si>
  <si>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</si>
  <si>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</si>
  <si>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</si>
  <si>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</si>
  <si>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</si>
  <si>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</si>
  <si>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</si>
  <si>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</si>
  <si>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</si>
  <si>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</si>
  <si>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</si>
  <si>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</si>
  <si>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</si>
  <si>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</si>
  <si>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</si>
  <si>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</si>
  <si>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</si>
  <si>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</si>
  <si>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</si>
  <si>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</si>
  <si>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</si>
  <si>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</si>
  <si>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</si>
  <si>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</si>
  <si>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</si>
  <si>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</si>
  <si>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</si>
  <si>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</si>
  <si>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</si>
  <si>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</si>
  <si>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</si>
  <si>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</si>
  <si>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</si>
  <si>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</si>
  <si>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</si>
  <si>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</si>
  <si>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</si>
  <si>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</si>
  <si>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</si>
  <si>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</si>
  <si>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</si>
  <si>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</si>
  <si>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</si>
  <si>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</si>
  <si>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</si>
  <si>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</si>
  <si>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</si>
  <si>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</si>
  <si>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</si>
  <si>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</si>
  <si>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</si>
  <si>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</si>
  <si>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</si>
  <si>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</si>
  <si>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</si>
  <si>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</si>
  <si>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</si>
  <si>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</si>
  <si>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</si>
  <si>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</si>
  <si>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</si>
  <si>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</si>
  <si>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</si>
  <si>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</si>
  <si>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</si>
  <si>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</si>
  <si>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</si>
  <si>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</si>
  <si>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</si>
  <si>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</si>
  <si>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</si>
  <si>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</si>
  <si>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</si>
  <si>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</si>
  <si>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</si>
  <si>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</si>
  <si>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</si>
  <si>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</si>
  <si>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</si>
  <si>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</si>
  <si>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</si>
  <si>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</si>
  <si>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</si>
  <si>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</si>
  <si>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</si>
  <si>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</si>
  <si>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</si>
  <si>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</si>
  <si>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</si>
  <si>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</si>
  <si>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</si>
  <si>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</si>
  <si>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</si>
  <si>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</si>
  <si>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</si>
  <si>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</si>
  <si>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</si>
  <si>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</si>
  <si>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</si>
  <si>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</si>
  <si>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</si>
  <si>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</si>
  <si>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</si>
  <si>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</si>
  <si>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</si>
  <si>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</si>
  <si>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</si>
  <si>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</si>
  <si>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</si>
  <si>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</si>
  <si>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</si>
  <si>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</si>
  <si>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</si>
  <si>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</si>
  <si>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</si>
  <si>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</si>
  <si>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</si>
  <si>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</si>
  <si>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</si>
  <si>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</si>
  <si>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</si>
  <si>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</si>
  <si>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</si>
  <si>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</si>
  <si>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</si>
  <si>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</si>
  <si>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</si>
  <si>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</si>
  <si>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</si>
  <si>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</si>
  <si>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</si>
  <si>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</si>
  <si>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</si>
  <si>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</si>
  <si>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</si>
  <si>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</si>
  <si>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</si>
  <si>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</si>
  <si>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</si>
  <si>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</si>
  <si>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</si>
  <si>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</si>
  <si>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</si>
  <si>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</si>
  <si>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</si>
  <si>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</si>
  <si>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</si>
  <si>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</si>
  <si>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</si>
  <si>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</si>
  <si>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</si>
  <si>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</si>
  <si>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</si>
  <si>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</si>
  <si>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</si>
  <si>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</si>
  <si>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</si>
  <si>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</si>
  <si>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</si>
  <si>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</si>
  <si>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</si>
  <si>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</si>
  <si>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</si>
  <si>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</si>
  <si>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</si>
  <si>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</si>
  <si>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</si>
  <si>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</si>
  <si>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</si>
  <si>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</si>
  <si>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</si>
  <si>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</si>
  <si>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</si>
  <si>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</si>
  <si>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</si>
  <si>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</si>
  <si>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</si>
  <si>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</si>
  <si>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</si>
  <si>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</si>
  <si>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</si>
  <si>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</si>
  <si>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</si>
  <si>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</si>
  <si>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</si>
  <si>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</si>
  <si>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</si>
  <si>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</si>
  <si>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</si>
  <si>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</si>
  <si>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</si>
  <si>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</si>
  <si>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</si>
  <si>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</si>
  <si>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</si>
  <si>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</si>
  <si>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</si>
  <si>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</si>
  <si>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</si>
  <si>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</si>
  <si>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</si>
  <si>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</si>
  <si>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</si>
  <si>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</si>
  <si>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</si>
  <si>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</si>
  <si>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</si>
  <si>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</si>
  <si>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</si>
  <si>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</si>
  <si>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</si>
  <si>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</si>
  <si>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</si>
  <si>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</si>
  <si>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</si>
  <si>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</si>
  <si>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</si>
  <si>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</si>
  <si>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</si>
  <si>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</si>
  <si>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</si>
  <si>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</si>
  <si>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</si>
  <si>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</si>
  <si>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</si>
  <si>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Pittsburg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</si>
</sst>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437</v>
      </c>
      <c r="C2" s="21">
        <v>437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354525.11</v>
      </c>
      <c r="G9" s="18">
        <v>4529.5</v>
      </c>
      <c r="H9" s="18"/>
      <c r="I9" s="18"/>
      <c r="J9" s="67">
        <f>SUM(I439)</f>
        <v>557098.26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24694.05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70234.539999999994</v>
      </c>
      <c r="G13" s="18">
        <v>1215.95</v>
      </c>
      <c r="H13" s="18">
        <v>25687.02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>
        <v>188.1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1356.57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449453.69999999995</v>
      </c>
      <c r="G19" s="41">
        <f>SUM(G9:G18)</f>
        <v>7290.12</v>
      </c>
      <c r="H19" s="41">
        <f>SUM(H9:H18)</f>
        <v>25687.02</v>
      </c>
      <c r="I19" s="41">
        <f>SUM(I9:I18)</f>
        <v>0</v>
      </c>
      <c r="J19" s="41">
        <f>SUM(J9:J18)</f>
        <v>557098.26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>
        <f>25495.02-800.97</f>
        <v>24694.05</v>
      </c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43863.65</v>
      </c>
      <c r="G24" s="18">
        <f>2809.89+552.81</f>
        <v>3362.7</v>
      </c>
      <c r="H24" s="18">
        <f>72+120</f>
        <v>192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13362.35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4059.64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>
        <v>800.97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61285.64</v>
      </c>
      <c r="G32" s="41">
        <f>SUM(G22:G31)</f>
        <v>3362.7</v>
      </c>
      <c r="H32" s="41">
        <f>SUM(H22:H31)</f>
        <v>25687.02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1356.57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>
        <f>14609.97+42952.79-54991.91</f>
        <v>2570.8499999999985</v>
      </c>
      <c r="H48" s="18"/>
      <c r="I48" s="18"/>
      <c r="J48" s="13">
        <f>SUM(I459)</f>
        <v>557098.26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426154.4+2557392.72-2595379.06</f>
        <v>388168.06000000006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388168.06000000006</v>
      </c>
      <c r="G51" s="41">
        <f>SUM(G35:G50)</f>
        <v>3927.4199999999983</v>
      </c>
      <c r="H51" s="41">
        <f>SUM(H35:H50)</f>
        <v>0</v>
      </c>
      <c r="I51" s="41">
        <f>SUM(I35:I50)</f>
        <v>0</v>
      </c>
      <c r="J51" s="41">
        <f>SUM(J35:J50)</f>
        <v>557098.26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449453.70000000007</v>
      </c>
      <c r="G52" s="41">
        <f>G51+G32</f>
        <v>7290.1199999999981</v>
      </c>
      <c r="H52" s="41">
        <f>H51+H32</f>
        <v>25687.02</v>
      </c>
      <c r="I52" s="41">
        <f>I51+I32</f>
        <v>0</v>
      </c>
      <c r="J52" s="41">
        <f>J51+J32</f>
        <v>557098.26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1387772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1387772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456676.62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456676.62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138.99</v>
      </c>
      <c r="G96" s="18"/>
      <c r="H96" s="18"/>
      <c r="I96" s="18"/>
      <c r="J96" s="18">
        <v>7466.93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15140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53013</v>
      </c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>
        <v>62606.18</v>
      </c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4620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641.08+571.16</f>
        <v>1212.24</v>
      </c>
      <c r="G110" s="18"/>
      <c r="H110" s="18">
        <v>3748.78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121590.41</v>
      </c>
      <c r="G111" s="41">
        <f>SUM(G96:G110)</f>
        <v>15140</v>
      </c>
      <c r="H111" s="41">
        <f>SUM(H96:H110)</f>
        <v>3748.78</v>
      </c>
      <c r="I111" s="41">
        <f>SUM(I96:I110)</f>
        <v>0</v>
      </c>
      <c r="J111" s="41">
        <f>SUM(J96:J110)</f>
        <v>7466.93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1966039.03</v>
      </c>
      <c r="G112" s="41">
        <f>G60+G111</f>
        <v>15140</v>
      </c>
      <c r="H112" s="41">
        <f>H60+H79+H94+H111</f>
        <v>3748.78</v>
      </c>
      <c r="I112" s="41">
        <f>I60+I111</f>
        <v>0</v>
      </c>
      <c r="J112" s="41">
        <f>J60+J111</f>
        <v>7466.93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/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525089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525089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657.54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657.54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525089</v>
      </c>
      <c r="G140" s="41">
        <f>G121+SUM(G136:G137)</f>
        <v>657.54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>
        <f>957.91+5088.87</f>
        <v>6046.78</v>
      </c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32612.400000000001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2768.98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21155.25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2989.54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2989.54</v>
      </c>
      <c r="G162" s="41">
        <f>SUM(G150:G161)</f>
        <v>21155.25</v>
      </c>
      <c r="H162" s="41">
        <f>SUM(H150:H161)</f>
        <v>41428.160000000003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2989.54</v>
      </c>
      <c r="G169" s="41">
        <f>G147+G162+SUM(G163:G168)</f>
        <v>21155.25</v>
      </c>
      <c r="H169" s="41">
        <f>H147+H162+SUM(H163:H168)</f>
        <v>41428.160000000003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6000</v>
      </c>
      <c r="H179" s="18"/>
      <c r="I179" s="18"/>
      <c r="J179" s="18">
        <v>25000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6000</v>
      </c>
      <c r="H183" s="41">
        <f>SUM(H179:H182)</f>
        <v>0</v>
      </c>
      <c r="I183" s="41">
        <f>SUM(I179:I182)</f>
        <v>0</v>
      </c>
      <c r="J183" s="41">
        <f>SUM(J179:J182)</f>
        <v>25000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f>1528.15+61747</f>
        <v>63275.15</v>
      </c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63275.15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63275.15</v>
      </c>
      <c r="G192" s="41">
        <f>G183+SUM(G188:G191)</f>
        <v>6000</v>
      </c>
      <c r="H192" s="41">
        <f>+H183+SUM(H188:H191)</f>
        <v>0</v>
      </c>
      <c r="I192" s="41">
        <f>I177+I183+SUM(I188:I191)</f>
        <v>0</v>
      </c>
      <c r="J192" s="41">
        <f>J183</f>
        <v>25000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2557392.7200000002</v>
      </c>
      <c r="G193" s="47">
        <f>G112+G140+G169+G192</f>
        <v>42952.79</v>
      </c>
      <c r="H193" s="47">
        <f>H112+H140+H169+H192</f>
        <v>45176.94</v>
      </c>
      <c r="I193" s="47">
        <f>I112+I140+I169+I192</f>
        <v>0</v>
      </c>
      <c r="J193" s="47">
        <f>J112+J140+J192</f>
        <v>32466.93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338923.74</v>
      </c>
      <c r="G197" s="18">
        <v>190138.31</v>
      </c>
      <c r="H197" s="18">
        <f>21170.82+606.66+1844.92</f>
        <v>23622.400000000001</v>
      </c>
      <c r="I197" s="18">
        <v>11830.64</v>
      </c>
      <c r="J197" s="18">
        <v>916.81</v>
      </c>
      <c r="K197" s="18">
        <v>6.65</v>
      </c>
      <c r="L197" s="19">
        <f>SUM(F197:K197)</f>
        <v>565438.55000000016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68407.600000000006</v>
      </c>
      <c r="G198" s="18">
        <v>15312.96</v>
      </c>
      <c r="H198" s="18">
        <v>280.7</v>
      </c>
      <c r="I198" s="18"/>
      <c r="J198" s="18"/>
      <c r="K198" s="18">
        <v>30</v>
      </c>
      <c r="L198" s="19">
        <f>SUM(F198:K198)</f>
        <v>84031.26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12256.5</v>
      </c>
      <c r="G200" s="18">
        <v>1946.8</v>
      </c>
      <c r="H200" s="18">
        <v>4418.2</v>
      </c>
      <c r="I200" s="18"/>
      <c r="J200" s="18"/>
      <c r="K200" s="18">
        <v>1883.2</v>
      </c>
      <c r="L200" s="19">
        <f>SUM(F200:K200)</f>
        <v>20504.7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67170.97</v>
      </c>
      <c r="G202" s="18">
        <v>19030.41</v>
      </c>
      <c r="H202" s="18">
        <f>78331.7+84+226.5</f>
        <v>78642.2</v>
      </c>
      <c r="I202" s="18">
        <v>982.94</v>
      </c>
      <c r="J202" s="18">
        <v>6625.82</v>
      </c>
      <c r="K202" s="18">
        <v>1689.35</v>
      </c>
      <c r="L202" s="19">
        <f t="shared" ref="L202:L208" si="0">SUM(F202:K202)</f>
        <v>174141.69000000003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14546.94</v>
      </c>
      <c r="G203" s="18">
        <v>6392.28</v>
      </c>
      <c r="H203" s="18">
        <v>1836.28</v>
      </c>
      <c r="I203" s="18">
        <v>919.85</v>
      </c>
      <c r="J203" s="18"/>
      <c r="K203" s="18">
        <f>800.67+2695</f>
        <v>3495.67</v>
      </c>
      <c r="L203" s="19">
        <f t="shared" si="0"/>
        <v>27191.019999999997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1565.4</v>
      </c>
      <c r="G204" s="18">
        <v>130.75</v>
      </c>
      <c r="H204" s="18">
        <f>141945.52+7729.63</f>
        <v>149675.15</v>
      </c>
      <c r="I204" s="18">
        <v>315.05</v>
      </c>
      <c r="J204" s="18"/>
      <c r="K204" s="18">
        <v>4328.43</v>
      </c>
      <c r="L204" s="19">
        <f t="shared" si="0"/>
        <v>156014.77999999997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63441.2</v>
      </c>
      <c r="G205" s="18">
        <v>22923.91</v>
      </c>
      <c r="H205" s="18">
        <f>175.49+4384.03</f>
        <v>4559.5199999999995</v>
      </c>
      <c r="I205" s="18">
        <v>3310.76</v>
      </c>
      <c r="J205" s="18"/>
      <c r="K205" s="18">
        <v>520.27</v>
      </c>
      <c r="L205" s="19">
        <f t="shared" si="0"/>
        <v>94755.66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38009.96</v>
      </c>
      <c r="G207" s="18">
        <v>16375.95</v>
      </c>
      <c r="H207" s="18">
        <f>17850.45+5878.55+32231.56</f>
        <v>55960.56</v>
      </c>
      <c r="I207" s="18">
        <v>54849.45</v>
      </c>
      <c r="J207" s="18">
        <v>111.99</v>
      </c>
      <c r="K207" s="18">
        <v>224.25</v>
      </c>
      <c r="L207" s="19">
        <f t="shared" si="0"/>
        <v>165532.15999999997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27092.3</v>
      </c>
      <c r="G208" s="18">
        <v>4510.47</v>
      </c>
      <c r="H208" s="18">
        <f>15028.63+5065.2</f>
        <v>20093.829999999998</v>
      </c>
      <c r="I208" s="18">
        <v>10391.18</v>
      </c>
      <c r="J208" s="18">
        <v>169.43</v>
      </c>
      <c r="K208" s="18">
        <v>377.16</v>
      </c>
      <c r="L208" s="19">
        <f t="shared" si="0"/>
        <v>62634.37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>
        <v>3707.58</v>
      </c>
      <c r="I209" s="18"/>
      <c r="J209" s="18"/>
      <c r="K209" s="18"/>
      <c r="L209" s="19">
        <f>SUM(F209:K209)</f>
        <v>3707.58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631414.61</v>
      </c>
      <c r="G211" s="41">
        <f t="shared" si="1"/>
        <v>276761.83999999997</v>
      </c>
      <c r="H211" s="41">
        <f t="shared" si="1"/>
        <v>342796.42000000004</v>
      </c>
      <c r="I211" s="41">
        <f t="shared" si="1"/>
        <v>82599.87</v>
      </c>
      <c r="J211" s="41">
        <f t="shared" si="1"/>
        <v>7824.0499999999993</v>
      </c>
      <c r="K211" s="41">
        <f t="shared" si="1"/>
        <v>12554.98</v>
      </c>
      <c r="L211" s="41">
        <f t="shared" si="1"/>
        <v>1353951.7700000003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305782.86</v>
      </c>
      <c r="G233" s="18">
        <v>157349.66</v>
      </c>
      <c r="H233" s="18">
        <f>5446.4+1148.88+607.68</f>
        <v>7202.96</v>
      </c>
      <c r="I233" s="18">
        <v>11656.84</v>
      </c>
      <c r="J233" s="18">
        <v>6182.88</v>
      </c>
      <c r="K233" s="18"/>
      <c r="L233" s="19">
        <f>SUM(F233:K233)</f>
        <v>488175.20000000007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40873.72</v>
      </c>
      <c r="G234" s="18">
        <v>10385.65</v>
      </c>
      <c r="H234" s="18"/>
      <c r="I234" s="18"/>
      <c r="J234" s="18"/>
      <c r="K234" s="18"/>
      <c r="L234" s="19">
        <f>SUM(F234:K234)</f>
        <v>51259.37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>
        <v>8750</v>
      </c>
      <c r="I235" s="18"/>
      <c r="J235" s="18"/>
      <c r="K235" s="18"/>
      <c r="L235" s="19">
        <f>SUM(F235:K235)</f>
        <v>8750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33971.5</v>
      </c>
      <c r="G236" s="18">
        <v>4693.17</v>
      </c>
      <c r="H236" s="18">
        <f>13289.97+4398.35</f>
        <v>17688.32</v>
      </c>
      <c r="I236" s="18">
        <v>1971.47</v>
      </c>
      <c r="J236" s="18">
        <v>4155.99</v>
      </c>
      <c r="K236" s="18">
        <v>6240.5</v>
      </c>
      <c r="L236" s="19">
        <f>SUM(F236:K236)</f>
        <v>68720.95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55429.91</v>
      </c>
      <c r="G238" s="18">
        <v>29324.15</v>
      </c>
      <c r="H238" s="18">
        <f>49983.94+36+31.5</f>
        <v>50051.44</v>
      </c>
      <c r="I238" s="18">
        <v>166.5</v>
      </c>
      <c r="J238" s="18">
        <v>9022.57</v>
      </c>
      <c r="K238" s="18">
        <v>1533.33</v>
      </c>
      <c r="L238" s="19">
        <f t="shared" ref="L238:L244" si="4">SUM(F238:K238)</f>
        <v>145527.9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12512.79</v>
      </c>
      <c r="G239" s="18">
        <v>1312.75</v>
      </c>
      <c r="H239" s="18">
        <f>90+152.3</f>
        <v>242.3</v>
      </c>
      <c r="I239" s="18">
        <v>468.25</v>
      </c>
      <c r="J239" s="18">
        <v>0</v>
      </c>
      <c r="K239" s="18">
        <f>734.05+1155</f>
        <v>1889.05</v>
      </c>
      <c r="L239" s="19">
        <f t="shared" si="4"/>
        <v>16425.14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1436.5</v>
      </c>
      <c r="G240" s="18">
        <v>116.31</v>
      </c>
      <c r="H240" s="18">
        <f>94339.18+4398.74</f>
        <v>98737.919999999998</v>
      </c>
      <c r="I240" s="18">
        <v>145.13</v>
      </c>
      <c r="J240" s="18"/>
      <c r="K240" s="18">
        <v>1851.67</v>
      </c>
      <c r="L240" s="19">
        <f t="shared" si="4"/>
        <v>102287.53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63441.86</v>
      </c>
      <c r="G241" s="18">
        <v>22920.97</v>
      </c>
      <c r="H241" s="18">
        <f>175.46+2189.08</f>
        <v>2364.54</v>
      </c>
      <c r="I241" s="18">
        <v>1432.47</v>
      </c>
      <c r="J241" s="18"/>
      <c r="K241" s="18">
        <v>322.98</v>
      </c>
      <c r="L241" s="19">
        <f t="shared" si="4"/>
        <v>90482.819999999992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37999.86</v>
      </c>
      <c r="G243" s="18">
        <v>15854.88</v>
      </c>
      <c r="H243" s="18">
        <f>14751.13+16903.45+3984.95</f>
        <v>35639.53</v>
      </c>
      <c r="I243" s="18">
        <v>24849.279999999999</v>
      </c>
      <c r="J243" s="18">
        <v>1662.99</v>
      </c>
      <c r="K243" s="18">
        <v>96.45</v>
      </c>
      <c r="L243" s="19">
        <f t="shared" si="4"/>
        <v>116102.98999999999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36802.400000000001</v>
      </c>
      <c r="G244" s="18">
        <v>5141.33</v>
      </c>
      <c r="H244" s="18">
        <f>6435.14+2561.8</f>
        <v>8996.94</v>
      </c>
      <c r="I244" s="18">
        <v>4440.5600000000004</v>
      </c>
      <c r="J244" s="18">
        <v>70.2</v>
      </c>
      <c r="K244" s="18">
        <v>192.35</v>
      </c>
      <c r="L244" s="19">
        <f t="shared" si="4"/>
        <v>55643.78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>
        <v>1589.01</v>
      </c>
      <c r="I245" s="18"/>
      <c r="J245" s="18"/>
      <c r="K245" s="18"/>
      <c r="L245" s="19">
        <f>SUM(F245:K245)</f>
        <v>1589.01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588251.4</v>
      </c>
      <c r="G247" s="41">
        <f t="shared" si="5"/>
        <v>247098.87</v>
      </c>
      <c r="H247" s="41">
        <f t="shared" si="5"/>
        <v>231262.96000000002</v>
      </c>
      <c r="I247" s="41">
        <f t="shared" si="5"/>
        <v>45130.499999999993</v>
      </c>
      <c r="J247" s="41">
        <f t="shared" si="5"/>
        <v>21094.63</v>
      </c>
      <c r="K247" s="41">
        <f t="shared" si="5"/>
        <v>12126.33</v>
      </c>
      <c r="L247" s="41">
        <f t="shared" si="5"/>
        <v>1144964.69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f>1947.75+43222.9+1767.85+18524.1</f>
        <v>65462.6</v>
      </c>
      <c r="I255" s="18"/>
      <c r="J255" s="18"/>
      <c r="K255" s="18"/>
      <c r="L255" s="19">
        <f t="shared" si="6"/>
        <v>65462.6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65462.6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65462.6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1219666.01</v>
      </c>
      <c r="G257" s="41">
        <f t="shared" si="8"/>
        <v>523860.70999999996</v>
      </c>
      <c r="H257" s="41">
        <f t="shared" si="8"/>
        <v>639521.9800000001</v>
      </c>
      <c r="I257" s="41">
        <f t="shared" si="8"/>
        <v>127730.37</v>
      </c>
      <c r="J257" s="41">
        <f t="shared" si="8"/>
        <v>28918.68</v>
      </c>
      <c r="K257" s="41">
        <f t="shared" si="8"/>
        <v>24681.309999999998</v>
      </c>
      <c r="L257" s="41">
        <f t="shared" si="8"/>
        <v>2564379.06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6000</v>
      </c>
      <c r="L263" s="19">
        <f>SUM(F263:K263)</f>
        <v>6000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25000</v>
      </c>
      <c r="L266" s="19">
        <f t="shared" si="9"/>
        <v>25000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31000</v>
      </c>
      <c r="L270" s="41">
        <f t="shared" si="9"/>
        <v>31000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1219666.01</v>
      </c>
      <c r="G271" s="42">
        <f t="shared" si="11"/>
        <v>523860.70999999996</v>
      </c>
      <c r="H271" s="42">
        <f t="shared" si="11"/>
        <v>639521.9800000001</v>
      </c>
      <c r="I271" s="42">
        <f t="shared" si="11"/>
        <v>127730.37</v>
      </c>
      <c r="J271" s="42">
        <f t="shared" si="11"/>
        <v>28918.68</v>
      </c>
      <c r="K271" s="42">
        <f t="shared" si="11"/>
        <v>55681.31</v>
      </c>
      <c r="L271" s="42">
        <f t="shared" si="11"/>
        <v>2595379.06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15143.59</v>
      </c>
      <c r="G276" s="18">
        <v>1158.47</v>
      </c>
      <c r="H276" s="18">
        <f>14260.03+504</f>
        <v>14764.03</v>
      </c>
      <c r="I276" s="18">
        <v>1263.31</v>
      </c>
      <c r="J276" s="18"/>
      <c r="K276" s="18"/>
      <c r="L276" s="19">
        <f>SUM(F276:K276)</f>
        <v>32329.4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>
        <v>120</v>
      </c>
      <c r="L281" s="19">
        <f t="shared" ref="L281:L287" si="12">SUM(F281:K281)</f>
        <v>120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714</v>
      </c>
      <c r="G282" s="18">
        <v>178.58</v>
      </c>
      <c r="H282" s="18">
        <v>1574.83</v>
      </c>
      <c r="I282" s="18"/>
      <c r="J282" s="18"/>
      <c r="K282" s="18">
        <v>1800</v>
      </c>
      <c r="L282" s="19">
        <f t="shared" si="12"/>
        <v>4267.41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>
        <v>163</v>
      </c>
      <c r="I283" s="18"/>
      <c r="J283" s="18"/>
      <c r="K283" s="18"/>
      <c r="L283" s="19">
        <f t="shared" si="12"/>
        <v>163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15857.59</v>
      </c>
      <c r="G290" s="42">
        <f t="shared" si="13"/>
        <v>1337.05</v>
      </c>
      <c r="H290" s="42">
        <f t="shared" si="13"/>
        <v>16501.86</v>
      </c>
      <c r="I290" s="42">
        <f t="shared" si="13"/>
        <v>1263.31</v>
      </c>
      <c r="J290" s="42">
        <f t="shared" si="13"/>
        <v>0</v>
      </c>
      <c r="K290" s="42">
        <f t="shared" si="13"/>
        <v>1920</v>
      </c>
      <c r="L290" s="41">
        <f t="shared" si="13"/>
        <v>36879.81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>
        <v>0</v>
      </c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0</v>
      </c>
      <c r="G301" s="18">
        <v>0</v>
      </c>
      <c r="H301" s="18">
        <v>0</v>
      </c>
      <c r="I301" s="18"/>
      <c r="J301" s="18"/>
      <c r="K301" s="18">
        <v>0</v>
      </c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>
        <v>3748.78</v>
      </c>
      <c r="K314" s="18"/>
      <c r="L314" s="19">
        <f>SUM(F314:K314)</f>
        <v>3748.78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714</v>
      </c>
      <c r="G320" s="18">
        <v>178.58</v>
      </c>
      <c r="H320" s="18">
        <v>1705.77</v>
      </c>
      <c r="I320" s="18"/>
      <c r="J320" s="18"/>
      <c r="K320" s="18">
        <v>1950</v>
      </c>
      <c r="L320" s="19">
        <f t="shared" si="16"/>
        <v>4548.3500000000004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714</v>
      </c>
      <c r="G328" s="42">
        <f t="shared" si="17"/>
        <v>178.58</v>
      </c>
      <c r="H328" s="42">
        <f t="shared" si="17"/>
        <v>1705.77</v>
      </c>
      <c r="I328" s="42">
        <f t="shared" si="17"/>
        <v>0</v>
      </c>
      <c r="J328" s="42">
        <f t="shared" si="17"/>
        <v>3748.78</v>
      </c>
      <c r="K328" s="42">
        <f t="shared" si="17"/>
        <v>1950</v>
      </c>
      <c r="L328" s="41">
        <f t="shared" si="17"/>
        <v>8297.130000000001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16571.59</v>
      </c>
      <c r="G338" s="41">
        <f t="shared" si="20"/>
        <v>1515.6299999999999</v>
      </c>
      <c r="H338" s="41">
        <f t="shared" si="20"/>
        <v>18207.63</v>
      </c>
      <c r="I338" s="41">
        <f t="shared" si="20"/>
        <v>1263.31</v>
      </c>
      <c r="J338" s="41">
        <f t="shared" si="20"/>
        <v>3748.78</v>
      </c>
      <c r="K338" s="41">
        <f t="shared" si="20"/>
        <v>3870</v>
      </c>
      <c r="L338" s="41">
        <f t="shared" si="20"/>
        <v>45176.94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16571.59</v>
      </c>
      <c r="G352" s="41">
        <f>G338</f>
        <v>1515.6299999999999</v>
      </c>
      <c r="H352" s="41">
        <f>H338</f>
        <v>18207.63</v>
      </c>
      <c r="I352" s="41">
        <f>I338</f>
        <v>1263.31</v>
      </c>
      <c r="J352" s="41">
        <f>J338</f>
        <v>3748.78</v>
      </c>
      <c r="K352" s="47">
        <f>K338+K351</f>
        <v>3870</v>
      </c>
      <c r="L352" s="41">
        <f>L338+L351</f>
        <v>45176.94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f>1375.06+36477.87</f>
        <v>37852.93</v>
      </c>
      <c r="I358" s="18">
        <f>83.59+551.65</f>
        <v>635.24</v>
      </c>
      <c r="J358" s="18"/>
      <c r="K358" s="18"/>
      <c r="L358" s="13">
        <f>SUM(F358:K358)</f>
        <v>38488.17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>
        <f>15633.37+589.31</f>
        <v>16222.68</v>
      </c>
      <c r="I360" s="18">
        <v>281.06</v>
      </c>
      <c r="J360" s="18"/>
      <c r="K360" s="18"/>
      <c r="L360" s="19">
        <f>SUM(F360:K360)</f>
        <v>16503.740000000002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54075.61</v>
      </c>
      <c r="I362" s="47">
        <f t="shared" si="22"/>
        <v>916.3</v>
      </c>
      <c r="J362" s="47">
        <f t="shared" si="22"/>
        <v>0</v>
      </c>
      <c r="K362" s="47">
        <f t="shared" si="22"/>
        <v>0</v>
      </c>
      <c r="L362" s="47">
        <f t="shared" si="22"/>
        <v>54991.91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635.24</v>
      </c>
      <c r="G368" s="63"/>
      <c r="H368" s="63">
        <v>281.06</v>
      </c>
      <c r="I368" s="56">
        <f>SUM(F368:H368)</f>
        <v>916.3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635.24</v>
      </c>
      <c r="G369" s="47">
        <f>SUM(G367:G368)</f>
        <v>0</v>
      </c>
      <c r="H369" s="47">
        <f>SUM(H367:H368)</f>
        <v>281.06</v>
      </c>
      <c r="I369" s="47">
        <f>SUM(I367:I368)</f>
        <v>916.3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v>1782.04</v>
      </c>
      <c r="I396" s="18"/>
      <c r="J396" s="24" t="s">
        <v>286</v>
      </c>
      <c r="K396" s="24" t="s">
        <v>286</v>
      </c>
      <c r="L396" s="56">
        <f t="shared" si="26"/>
        <v>1782.04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0</v>
      </c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>
        <v>1202.1199999999999</v>
      </c>
      <c r="I398" s="18"/>
      <c r="J398" s="24" t="s">
        <v>286</v>
      </c>
      <c r="K398" s="24" t="s">
        <v>286</v>
      </c>
      <c r="L398" s="56">
        <f t="shared" si="26"/>
        <v>1202.1199999999999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>
        <v>194.93</v>
      </c>
      <c r="I399" s="18"/>
      <c r="J399" s="24" t="s">
        <v>286</v>
      </c>
      <c r="K399" s="24" t="s">
        <v>286</v>
      </c>
      <c r="L399" s="56">
        <f t="shared" si="26"/>
        <v>194.93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>
        <v>25000</v>
      </c>
      <c r="H400" s="18">
        <v>4287.84</v>
      </c>
      <c r="I400" s="18"/>
      <c r="J400" s="24" t="s">
        <v>286</v>
      </c>
      <c r="K400" s="24" t="s">
        <v>286</v>
      </c>
      <c r="L400" s="56">
        <f t="shared" si="26"/>
        <v>29287.84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7466.93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32466.93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25000</v>
      </c>
      <c r="H408" s="47">
        <f>H393+H401+H407</f>
        <v>7466.93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32466.93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>
        <v>61727.199999999997</v>
      </c>
      <c r="I422" s="18"/>
      <c r="J422" s="18"/>
      <c r="K422" s="18"/>
      <c r="L422" s="56">
        <f t="shared" si="29"/>
        <v>61727.199999999997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>
        <v>0</v>
      </c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61727.199999999997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61727.199999999997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61727.199999999997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61727.199999999997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>
        <v>557098.26</v>
      </c>
      <c r="H439" s="18"/>
      <c r="I439" s="56">
        <f t="shared" ref="I439:I445" si="33">SUM(F439:H439)</f>
        <v>557098.26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557098.26</v>
      </c>
      <c r="H446" s="13">
        <f>SUM(H439:H445)</f>
        <v>0</v>
      </c>
      <c r="I446" s="13">
        <f>SUM(I439:I445)</f>
        <v>557098.26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557098.26</v>
      </c>
      <c r="H459" s="18"/>
      <c r="I459" s="56">
        <f t="shared" si="34"/>
        <v>557098.26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557098.26</v>
      </c>
      <c r="H460" s="83">
        <f>SUM(H454:H459)</f>
        <v>0</v>
      </c>
      <c r="I460" s="83">
        <f>SUM(I454:I459)</f>
        <v>557098.26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557098.26</v>
      </c>
      <c r="H461" s="42">
        <f>H452+H460</f>
        <v>0</v>
      </c>
      <c r="I461" s="42">
        <f>I452+I460</f>
        <v>557098.26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426154.4</v>
      </c>
      <c r="G465" s="18">
        <v>19160.560000000001</v>
      </c>
      <c r="H465" s="18">
        <v>0</v>
      </c>
      <c r="I465" s="18"/>
      <c r="J465" s="18">
        <v>586358.53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2557392.7200000002</v>
      </c>
      <c r="G468" s="18">
        <v>42952.79</v>
      </c>
      <c r="H468" s="18">
        <v>45176.94</v>
      </c>
      <c r="I468" s="18"/>
      <c r="J468" s="18">
        <f>25000+7466.93</f>
        <v>32466.93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2557392.7200000002</v>
      </c>
      <c r="G470" s="53">
        <f>SUM(G468:G469)</f>
        <v>42952.79</v>
      </c>
      <c r="H470" s="53">
        <f>SUM(H468:H469)</f>
        <v>45176.94</v>
      </c>
      <c r="I470" s="53">
        <f>SUM(I468:I469)</f>
        <v>0</v>
      </c>
      <c r="J470" s="53">
        <f>SUM(J468:J469)</f>
        <v>32466.93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2595379.06</v>
      </c>
      <c r="G472" s="18">
        <v>54991.91</v>
      </c>
      <c r="H472" s="18">
        <v>45176.94</v>
      </c>
      <c r="I472" s="18"/>
      <c r="J472" s="18">
        <f>23810.36+37916.84</f>
        <v>61727.199999999997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>
        <v>3194.02</v>
      </c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2595379.06</v>
      </c>
      <c r="G474" s="53">
        <f>SUM(G472:G473)</f>
        <v>58185.93</v>
      </c>
      <c r="H474" s="53">
        <f>SUM(H472:H473)</f>
        <v>45176.94</v>
      </c>
      <c r="I474" s="53">
        <f>SUM(I472:I473)</f>
        <v>0</v>
      </c>
      <c r="J474" s="53">
        <f>SUM(J472:J473)</f>
        <v>61727.199999999997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388168.06000000006</v>
      </c>
      <c r="G476" s="53">
        <f>(G465+G470)- G474</f>
        <v>3927.4200000000055</v>
      </c>
      <c r="H476" s="53">
        <f>(H465+H470)- H474</f>
        <v>0</v>
      </c>
      <c r="I476" s="53">
        <f>(I465+I470)- I474</f>
        <v>0</v>
      </c>
      <c r="J476" s="53">
        <f>(J465+J470)- J474</f>
        <v>557098.26000000013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68407.600000000006</v>
      </c>
      <c r="G521" s="18">
        <v>15312.96</v>
      </c>
      <c r="H521" s="18">
        <v>280.7</v>
      </c>
      <c r="I521" s="18"/>
      <c r="J521" s="18"/>
      <c r="K521" s="18">
        <v>30</v>
      </c>
      <c r="L521" s="88">
        <f>SUM(F521:K521)</f>
        <v>84031.26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40873.72</v>
      </c>
      <c r="G523" s="18">
        <v>10385.65</v>
      </c>
      <c r="H523" s="18"/>
      <c r="I523" s="18"/>
      <c r="J523" s="18"/>
      <c r="K523" s="18"/>
      <c r="L523" s="88">
        <f>SUM(F523:K523)</f>
        <v>51259.37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109281.32</v>
      </c>
      <c r="G524" s="108">
        <f t="shared" ref="G524:L524" si="36">SUM(G521:G523)</f>
        <v>25698.61</v>
      </c>
      <c r="H524" s="108">
        <f t="shared" si="36"/>
        <v>280.7</v>
      </c>
      <c r="I524" s="108">
        <f t="shared" si="36"/>
        <v>0</v>
      </c>
      <c r="J524" s="108">
        <f t="shared" si="36"/>
        <v>0</v>
      </c>
      <c r="K524" s="108">
        <f t="shared" si="36"/>
        <v>30</v>
      </c>
      <c r="L524" s="89">
        <f t="shared" si="36"/>
        <v>135290.63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14006.81</v>
      </c>
      <c r="G526" s="18">
        <v>1120.53</v>
      </c>
      <c r="H526" s="18">
        <f>28953.84+2979</f>
        <v>31932.84</v>
      </c>
      <c r="I526" s="18">
        <v>982.94</v>
      </c>
      <c r="J526" s="18">
        <v>59.99</v>
      </c>
      <c r="K526" s="18"/>
      <c r="L526" s="88">
        <f>SUM(F526:K526)</f>
        <v>48103.11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>
        <v>1.63</v>
      </c>
      <c r="H528" s="18">
        <f>36673.74+6050</f>
        <v>42723.74</v>
      </c>
      <c r="I528" s="18"/>
      <c r="J528" s="18"/>
      <c r="K528" s="18"/>
      <c r="L528" s="88">
        <f>SUM(F528:K528)</f>
        <v>42725.369999999995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14006.81</v>
      </c>
      <c r="G529" s="89">
        <f t="shared" ref="G529:L529" si="37">SUM(G526:G528)</f>
        <v>1122.1600000000001</v>
      </c>
      <c r="H529" s="89">
        <f t="shared" si="37"/>
        <v>74656.58</v>
      </c>
      <c r="I529" s="89">
        <f t="shared" si="37"/>
        <v>982.94</v>
      </c>
      <c r="J529" s="89">
        <f t="shared" si="37"/>
        <v>59.99</v>
      </c>
      <c r="K529" s="89">
        <f t="shared" si="37"/>
        <v>0</v>
      </c>
      <c r="L529" s="89">
        <f t="shared" si="37"/>
        <v>90828.479999999996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v>19289.2</v>
      </c>
      <c r="I531" s="18"/>
      <c r="J531" s="18"/>
      <c r="K531" s="18"/>
      <c r="L531" s="88">
        <f>SUM(F531:K531)</f>
        <v>19289.2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>
        <v>4822.3</v>
      </c>
      <c r="I533" s="18"/>
      <c r="J533" s="18"/>
      <c r="K533" s="18"/>
      <c r="L533" s="88">
        <f>SUM(F533:K533)</f>
        <v>4822.3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24111.5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24111.5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123288.13</v>
      </c>
      <c r="G545" s="89">
        <f t="shared" ref="G545:L545" si="41">G524+G529+G534+G539+G544</f>
        <v>26820.77</v>
      </c>
      <c r="H545" s="89">
        <f t="shared" si="41"/>
        <v>99048.78</v>
      </c>
      <c r="I545" s="89">
        <f t="shared" si="41"/>
        <v>982.94</v>
      </c>
      <c r="J545" s="89">
        <f t="shared" si="41"/>
        <v>59.99</v>
      </c>
      <c r="K545" s="89">
        <f t="shared" si="41"/>
        <v>30</v>
      </c>
      <c r="L545" s="89">
        <f t="shared" si="41"/>
        <v>250230.61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84031.26</v>
      </c>
      <c r="G549" s="87">
        <f>L526</f>
        <v>48103.11</v>
      </c>
      <c r="H549" s="87">
        <f>L531</f>
        <v>19289.2</v>
      </c>
      <c r="I549" s="87">
        <f>L536</f>
        <v>0</v>
      </c>
      <c r="J549" s="87">
        <f>L541</f>
        <v>0</v>
      </c>
      <c r="K549" s="87">
        <f>SUM(F549:J549)</f>
        <v>151423.57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51259.37</v>
      </c>
      <c r="G551" s="87">
        <f>L528</f>
        <v>42725.369999999995</v>
      </c>
      <c r="H551" s="87">
        <f>L533</f>
        <v>4822.3</v>
      </c>
      <c r="I551" s="87">
        <f>L538</f>
        <v>0</v>
      </c>
      <c r="J551" s="87">
        <f>L543</f>
        <v>0</v>
      </c>
      <c r="K551" s="87">
        <f>SUM(F551:J551)</f>
        <v>98807.039999999994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135290.63</v>
      </c>
      <c r="G552" s="89">
        <f t="shared" si="42"/>
        <v>90828.479999999996</v>
      </c>
      <c r="H552" s="89">
        <f t="shared" si="42"/>
        <v>24111.5</v>
      </c>
      <c r="I552" s="89">
        <f t="shared" si="42"/>
        <v>0</v>
      </c>
      <c r="J552" s="89">
        <f t="shared" si="42"/>
        <v>0</v>
      </c>
      <c r="K552" s="89">
        <f t="shared" si="42"/>
        <v>250230.61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>
        <v>8750</v>
      </c>
      <c r="I585" s="87">
        <f t="shared" si="47"/>
        <v>8750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55724.75</v>
      </c>
      <c r="I591" s="18"/>
      <c r="J591" s="18">
        <v>30312.1</v>
      </c>
      <c r="K591" s="104">
        <f t="shared" ref="K591:K597" si="48">SUM(H591:J591)</f>
        <v>86036.85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0</v>
      </c>
      <c r="I592" s="18"/>
      <c r="J592" s="18"/>
      <c r="K592" s="104">
        <f t="shared" si="48"/>
        <v>0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f>1580.96+214</f>
        <v>1794.96</v>
      </c>
      <c r="I594" s="18"/>
      <c r="J594" s="18">
        <f>19840.19+2300+0.03</f>
        <v>22140.219999999998</v>
      </c>
      <c r="K594" s="104">
        <f t="shared" si="48"/>
        <v>23935.179999999997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f>4891.66+223</f>
        <v>5114.66</v>
      </c>
      <c r="I595" s="18"/>
      <c r="J595" s="18">
        <f>3031.46+160</f>
        <v>3191.46</v>
      </c>
      <c r="K595" s="104">
        <f t="shared" si="48"/>
        <v>8306.119999999999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62634.369999999995</v>
      </c>
      <c r="I598" s="108">
        <f>SUM(I591:I597)</f>
        <v>0</v>
      </c>
      <c r="J598" s="108">
        <f>SUM(J591:J597)</f>
        <v>55643.779999999992</v>
      </c>
      <c r="K598" s="108">
        <f>SUM(K591:K597)</f>
        <v>118278.15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11572.83</v>
      </c>
      <c r="I604" s="18"/>
      <c r="J604" s="18">
        <v>21094.63</v>
      </c>
      <c r="K604" s="104">
        <f>SUM(H604:J604)</f>
        <v>32667.46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11572.83</v>
      </c>
      <c r="I605" s="108">
        <f>SUM(I602:I604)</f>
        <v>0</v>
      </c>
      <c r="J605" s="108">
        <f>SUM(J602:J604)</f>
        <v>21094.63</v>
      </c>
      <c r="K605" s="108">
        <f>SUM(K602:K604)</f>
        <v>32667.46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449453.69999999995</v>
      </c>
      <c r="H617" s="109">
        <f>SUM(F52)</f>
        <v>449453.70000000007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7290.12</v>
      </c>
      <c r="H618" s="109">
        <f>SUM(G52)</f>
        <v>7290.1199999999981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25687.02</v>
      </c>
      <c r="H619" s="109">
        <f>SUM(H52)</f>
        <v>25687.02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557098.26</v>
      </c>
      <c r="H621" s="109">
        <f>SUM(J52)</f>
        <v>557098.26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388168.06000000006</v>
      </c>
      <c r="H622" s="109">
        <f>F476</f>
        <v>388168.06000000006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3927.4199999999983</v>
      </c>
      <c r="H623" s="109">
        <f>G476</f>
        <v>3927.4200000000055</v>
      </c>
      <c r="I623" s="121" t="s">
        <v>102</v>
      </c>
      <c r="J623" s="109">
        <f t="shared" si="50"/>
        <v>-7.2759576141834259E-12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557098.26</v>
      </c>
      <c r="H626" s="109">
        <f>J476</f>
        <v>557098.26000000013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2557392.7200000002</v>
      </c>
      <c r="H627" s="104">
        <f>SUM(F468)</f>
        <v>2557392.7200000002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42952.79</v>
      </c>
      <c r="H628" s="104">
        <f>SUM(G468)</f>
        <v>42952.79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45176.94</v>
      </c>
      <c r="H629" s="104">
        <f>SUM(H468)</f>
        <v>45176.94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32466.93</v>
      </c>
      <c r="H631" s="104">
        <f>SUM(J468)</f>
        <v>32466.93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2595379.06</v>
      </c>
      <c r="H632" s="104">
        <f>SUM(F472)</f>
        <v>2595379.06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45176.94</v>
      </c>
      <c r="H633" s="104">
        <f>SUM(H472)</f>
        <v>45176.94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916.3</v>
      </c>
      <c r="H634" s="104">
        <f>I369</f>
        <v>916.3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54991.91</v>
      </c>
      <c r="H635" s="104">
        <f>SUM(G472)</f>
        <v>54991.91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32466.93</v>
      </c>
      <c r="H637" s="164">
        <f>SUM(J468)</f>
        <v>32466.93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61727.199999999997</v>
      </c>
      <c r="H638" s="164">
        <f>SUM(J472)</f>
        <v>61727.199999999997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557098.26</v>
      </c>
      <c r="H640" s="104">
        <f>SUM(G461)</f>
        <v>557098.26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557098.26</v>
      </c>
      <c r="H642" s="104">
        <f>SUM(I461)</f>
        <v>557098.26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7466.93</v>
      </c>
      <c r="H644" s="104">
        <f>H408</f>
        <v>7466.93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25000</v>
      </c>
      <c r="H645" s="104">
        <f>G408</f>
        <v>25000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32466.93</v>
      </c>
      <c r="H646" s="104">
        <f>L408</f>
        <v>32466.93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118278.15</v>
      </c>
      <c r="H647" s="104">
        <f>L208+L226+L244</f>
        <v>118278.15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32667.46</v>
      </c>
      <c r="H648" s="104">
        <f>(J257+J338)-(J255+J336)</f>
        <v>32667.46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62634.37</v>
      </c>
      <c r="H649" s="104">
        <f>H598</f>
        <v>62634.369999999995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55643.78</v>
      </c>
      <c r="H651" s="104">
        <f>J598</f>
        <v>55643.779999999992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6000</v>
      </c>
      <c r="H652" s="104">
        <f>K263+K345</f>
        <v>6000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25000</v>
      </c>
      <c r="H655" s="104">
        <f>K266+K347</f>
        <v>25000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1429319.7500000002</v>
      </c>
      <c r="G660" s="19">
        <f>(L229+L309+L359)</f>
        <v>0</v>
      </c>
      <c r="H660" s="19">
        <f>(L247+L328+L360)</f>
        <v>1169765.5599999998</v>
      </c>
      <c r="I660" s="19">
        <f>SUM(F660:H660)</f>
        <v>2599085.31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10596.30214335163</v>
      </c>
      <c r="G661" s="19">
        <f>(L359/IF(SUM(L358:L360)=0,1,SUM(L358:L360))*(SUM(G97:G110)))</f>
        <v>0</v>
      </c>
      <c r="H661" s="19">
        <f>(L360/IF(SUM(L358:L360)=0,1,SUM(L358:L360))*(SUM(G97:G110)))</f>
        <v>4543.6978566483685</v>
      </c>
      <c r="I661" s="19">
        <f>SUM(F661:H661)</f>
        <v>15139.999999999998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62464.94</v>
      </c>
      <c r="G662" s="19">
        <f>(L226+L306)-(J226+J306)</f>
        <v>0</v>
      </c>
      <c r="H662" s="19">
        <f>(L244+L325)-(J244+J325)</f>
        <v>55573.58</v>
      </c>
      <c r="I662" s="19">
        <f>SUM(F662:H662)</f>
        <v>118038.52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11572.83</v>
      </c>
      <c r="G663" s="199">
        <f>SUM(G575:G587)+SUM(I602:I604)+L612</f>
        <v>0</v>
      </c>
      <c r="H663" s="199">
        <f>SUM(H575:H587)+SUM(J602:J604)+L613</f>
        <v>29844.63</v>
      </c>
      <c r="I663" s="19">
        <f>SUM(F663:H663)</f>
        <v>41417.46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1344685.6778566486</v>
      </c>
      <c r="G664" s="19">
        <f>G660-SUM(G661:G663)</f>
        <v>0</v>
      </c>
      <c r="H664" s="19">
        <f>H660-SUM(H661:H663)</f>
        <v>1079803.6521433515</v>
      </c>
      <c r="I664" s="19">
        <f>I660-SUM(I661:I663)</f>
        <v>2424489.33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62.25</v>
      </c>
      <c r="G665" s="248"/>
      <c r="H665" s="248">
        <v>27.66</v>
      </c>
      <c r="I665" s="19">
        <f>SUM(F665:H665)</f>
        <v>89.91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21601.38</v>
      </c>
      <c r="G667" s="19" t="e">
        <f>ROUND(G664/G665,2)</f>
        <v>#DIV/0!</v>
      </c>
      <c r="H667" s="19">
        <f>ROUND(H664/H665,2)</f>
        <v>39038.449999999997</v>
      </c>
      <c r="I667" s="19">
        <f>ROUND(I664/I665,2)</f>
        <v>26965.74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-0.33</v>
      </c>
      <c r="I670" s="19">
        <f>SUM(F670:H670)</f>
        <v>-0.33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21601.38</v>
      </c>
      <c r="G672" s="19" t="e">
        <f>ROUND((G664+G669)/(G665+G670),2)</f>
        <v>#DIV/0!</v>
      </c>
      <c r="H672" s="19">
        <f>ROUND((H664+H669)/(H665+H670),2)</f>
        <v>39509.83</v>
      </c>
      <c r="I672" s="19">
        <f>ROUND((I664+I669)/(I665+I670),2)</f>
        <v>27065.07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3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Pittsburg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659850.18999999994</v>
      </c>
      <c r="C9" s="229">
        <f>'DOE25'!G197+'DOE25'!G215+'DOE25'!G233+'DOE25'!G276+'DOE25'!G295+'DOE25'!G314</f>
        <v>348646.43999999994</v>
      </c>
    </row>
    <row r="10" spans="1:3" x14ac:dyDescent="0.2">
      <c r="A10" t="s">
        <v>773</v>
      </c>
      <c r="B10" s="240">
        <v>634821.6</v>
      </c>
      <c r="C10" s="240">
        <v>346682.86</v>
      </c>
    </row>
    <row r="11" spans="1:3" x14ac:dyDescent="0.2">
      <c r="A11" t="s">
        <v>774</v>
      </c>
      <c r="B11" s="240">
        <v>15143.59</v>
      </c>
      <c r="C11" s="240">
        <v>1203.43</v>
      </c>
    </row>
    <row r="12" spans="1:3" x14ac:dyDescent="0.2">
      <c r="A12" t="s">
        <v>775</v>
      </c>
      <c r="B12" s="240">
        <f>6545+3340</f>
        <v>9885</v>
      </c>
      <c r="C12" s="240">
        <v>760.15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659850.18999999994</v>
      </c>
      <c r="C13" s="231">
        <f>SUM(C10:C12)</f>
        <v>348646.44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109281.32</v>
      </c>
      <c r="C18" s="229">
        <f>'DOE25'!G198+'DOE25'!G216+'DOE25'!G234+'DOE25'!G277+'DOE25'!G296+'DOE25'!G315</f>
        <v>25698.61</v>
      </c>
    </row>
    <row r="19" spans="1:3" x14ac:dyDescent="0.2">
      <c r="A19" t="s">
        <v>773</v>
      </c>
      <c r="B19" s="240">
        <f>25519+25519</f>
        <v>51038</v>
      </c>
      <c r="C19" s="240">
        <v>20796.830000000002</v>
      </c>
    </row>
    <row r="20" spans="1:3" x14ac:dyDescent="0.2">
      <c r="A20" t="s">
        <v>774</v>
      </c>
      <c r="B20" s="240">
        <f>37136+15354.72</f>
        <v>52490.720000000001</v>
      </c>
      <c r="C20" s="240">
        <v>4461.71</v>
      </c>
    </row>
    <row r="21" spans="1:3" x14ac:dyDescent="0.2">
      <c r="A21" t="s">
        <v>775</v>
      </c>
      <c r="B21" s="240">
        <f>1543.75+4208.85</f>
        <v>5752.6</v>
      </c>
      <c r="C21" s="240">
        <v>440.07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109281.32</v>
      </c>
      <c r="C22" s="231">
        <f>SUM(C19:C21)</f>
        <v>25698.61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46228</v>
      </c>
      <c r="C36" s="235">
        <f>'DOE25'!G200+'DOE25'!G218+'DOE25'!G236+'DOE25'!G279+'DOE25'!G298+'DOE25'!G317</f>
        <v>6639.97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f>2916.5+7599.5+26372+9340</f>
        <v>46228</v>
      </c>
      <c r="C39" s="240">
        <v>6639.97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46228</v>
      </c>
      <c r="C40" s="231">
        <f>SUM(C37:C39)</f>
        <v>6639.97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Pittsburg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1286880.0300000003</v>
      </c>
      <c r="D5" s="20">
        <f>SUM('DOE25'!L197:L200)+SUM('DOE25'!L215:L218)+SUM('DOE25'!L233:L236)-F5-G5</f>
        <v>1267464.0000000002</v>
      </c>
      <c r="E5" s="243"/>
      <c r="F5" s="255">
        <f>SUM('DOE25'!J197:J200)+SUM('DOE25'!J215:J218)+SUM('DOE25'!J233:J236)</f>
        <v>11255.679999999998</v>
      </c>
      <c r="G5" s="53">
        <f>SUM('DOE25'!K197:K200)+SUM('DOE25'!K215:K218)+SUM('DOE25'!K233:K236)</f>
        <v>8160.35</v>
      </c>
      <c r="H5" s="259"/>
    </row>
    <row r="6" spans="1:9" x14ac:dyDescent="0.2">
      <c r="A6" s="32">
        <v>2100</v>
      </c>
      <c r="B6" t="s">
        <v>795</v>
      </c>
      <c r="C6" s="245">
        <f t="shared" si="0"/>
        <v>319669.59000000003</v>
      </c>
      <c r="D6" s="20">
        <f>'DOE25'!L202+'DOE25'!L220+'DOE25'!L238-F6-G6</f>
        <v>300798.52</v>
      </c>
      <c r="E6" s="243"/>
      <c r="F6" s="255">
        <f>'DOE25'!J202+'DOE25'!J220+'DOE25'!J238</f>
        <v>15648.39</v>
      </c>
      <c r="G6" s="53">
        <f>'DOE25'!K202+'DOE25'!K220+'DOE25'!K238</f>
        <v>3222.68</v>
      </c>
      <c r="H6" s="259"/>
    </row>
    <row r="7" spans="1:9" x14ac:dyDescent="0.2">
      <c r="A7" s="32">
        <v>2200</v>
      </c>
      <c r="B7" t="s">
        <v>828</v>
      </c>
      <c r="C7" s="245">
        <f t="shared" si="0"/>
        <v>43616.159999999996</v>
      </c>
      <c r="D7" s="20">
        <f>'DOE25'!L203+'DOE25'!L221+'DOE25'!L239-F7-G7</f>
        <v>38231.439999999995</v>
      </c>
      <c r="E7" s="243"/>
      <c r="F7" s="255">
        <f>'DOE25'!J203+'DOE25'!J221+'DOE25'!J239</f>
        <v>0</v>
      </c>
      <c r="G7" s="53">
        <f>'DOE25'!K203+'DOE25'!K221+'DOE25'!K239</f>
        <v>5384.72</v>
      </c>
      <c r="H7" s="259"/>
    </row>
    <row r="8" spans="1:9" x14ac:dyDescent="0.2">
      <c r="A8" s="32">
        <v>2300</v>
      </c>
      <c r="B8" t="s">
        <v>796</v>
      </c>
      <c r="C8" s="245">
        <f t="shared" si="0"/>
        <v>159621.29999999999</v>
      </c>
      <c r="D8" s="243"/>
      <c r="E8" s="20">
        <f>'DOE25'!L204+'DOE25'!L222+'DOE25'!L240-F8-G8-D9-D11</f>
        <v>153441.19999999998</v>
      </c>
      <c r="F8" s="255">
        <f>'DOE25'!J204+'DOE25'!J222+'DOE25'!J240</f>
        <v>0</v>
      </c>
      <c r="G8" s="53">
        <f>'DOE25'!K204+'DOE25'!K222+'DOE25'!K240</f>
        <v>6180.1</v>
      </c>
      <c r="H8" s="259"/>
    </row>
    <row r="9" spans="1:9" x14ac:dyDescent="0.2">
      <c r="A9" s="32">
        <v>2310</v>
      </c>
      <c r="B9" t="s">
        <v>812</v>
      </c>
      <c r="C9" s="245">
        <f t="shared" si="0"/>
        <v>31167.11</v>
      </c>
      <c r="D9" s="244">
        <f>11433.45+19733.66</f>
        <v>31167.11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7900</v>
      </c>
      <c r="D10" s="243"/>
      <c r="E10" s="244">
        <v>7900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67513.899999999994</v>
      </c>
      <c r="D11" s="244">
        <v>67513.899999999994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185238.47999999998</v>
      </c>
      <c r="D12" s="20">
        <f>'DOE25'!L205+'DOE25'!L223+'DOE25'!L241-F12-G12</f>
        <v>184395.22999999998</v>
      </c>
      <c r="E12" s="243"/>
      <c r="F12" s="255">
        <f>'DOE25'!J205+'DOE25'!J223+'DOE25'!J241</f>
        <v>0</v>
      </c>
      <c r="G12" s="53">
        <f>'DOE25'!K205+'DOE25'!K223+'DOE25'!K241</f>
        <v>843.25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281635.14999999997</v>
      </c>
      <c r="D14" s="20">
        <f>'DOE25'!L207+'DOE25'!L225+'DOE25'!L243-F14-G14</f>
        <v>279539.46999999997</v>
      </c>
      <c r="E14" s="243"/>
      <c r="F14" s="255">
        <f>'DOE25'!J207+'DOE25'!J225+'DOE25'!J243</f>
        <v>1774.98</v>
      </c>
      <c r="G14" s="53">
        <f>'DOE25'!K207+'DOE25'!K225+'DOE25'!K243</f>
        <v>320.7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118278.15</v>
      </c>
      <c r="D15" s="20">
        <f>'DOE25'!L208+'DOE25'!L226+'DOE25'!L244-F15-G15</f>
        <v>117469.01</v>
      </c>
      <c r="E15" s="243"/>
      <c r="F15" s="255">
        <f>'DOE25'!J208+'DOE25'!J226+'DOE25'!J244</f>
        <v>239.63</v>
      </c>
      <c r="G15" s="53">
        <f>'DOE25'!K208+'DOE25'!K226+'DOE25'!K244</f>
        <v>569.51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5296.59</v>
      </c>
      <c r="D16" s="243"/>
      <c r="E16" s="20">
        <f>'DOE25'!L209+'DOE25'!L227+'DOE25'!L245-F16-G16</f>
        <v>5296.59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65462.6</v>
      </c>
      <c r="D22" s="243"/>
      <c r="E22" s="243"/>
      <c r="F22" s="255">
        <f>'DOE25'!L255+'DOE25'!L336</f>
        <v>65462.6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54991.91</v>
      </c>
      <c r="D29" s="20">
        <f>'DOE25'!L358+'DOE25'!L359+'DOE25'!L360-'DOE25'!I367-F29-G29</f>
        <v>54991.91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45176.94</v>
      </c>
      <c r="D31" s="20">
        <f>'DOE25'!L290+'DOE25'!L309+'DOE25'!L328+'DOE25'!L333+'DOE25'!L334+'DOE25'!L335-F31-G31</f>
        <v>37558.160000000003</v>
      </c>
      <c r="E31" s="243"/>
      <c r="F31" s="255">
        <f>'DOE25'!J290+'DOE25'!J309+'DOE25'!J328+'DOE25'!J333+'DOE25'!J334+'DOE25'!J335</f>
        <v>3748.78</v>
      </c>
      <c r="G31" s="53">
        <f>'DOE25'!K290+'DOE25'!K309+'DOE25'!K328+'DOE25'!K333+'DOE25'!K334+'DOE25'!K335</f>
        <v>3870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2379128.75</v>
      </c>
      <c r="E33" s="246">
        <f>SUM(E5:E31)</f>
        <v>166637.78999999998</v>
      </c>
      <c r="F33" s="246">
        <f>SUM(F5:F31)</f>
        <v>98130.06</v>
      </c>
      <c r="G33" s="246">
        <f>SUM(G5:G31)</f>
        <v>28551.309999999998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166637.78999999998</v>
      </c>
      <c r="E35" s="249"/>
    </row>
    <row r="36" spans="2:8" ht="12" thickTop="1" x14ac:dyDescent="0.2">
      <c r="B36" t="s">
        <v>809</v>
      </c>
      <c r="D36" s="20">
        <f>D33</f>
        <v>2379128.75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Pittsburg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354525.11</v>
      </c>
      <c r="D8" s="95">
        <f>'DOE25'!G9</f>
        <v>4529.5</v>
      </c>
      <c r="E8" s="95">
        <f>'DOE25'!H9</f>
        <v>0</v>
      </c>
      <c r="F8" s="95">
        <f>'DOE25'!I9</f>
        <v>0</v>
      </c>
      <c r="G8" s="95">
        <f>'DOE25'!J9</f>
        <v>557098.26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24694.05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70234.539999999994</v>
      </c>
      <c r="D12" s="95">
        <f>'DOE25'!G13</f>
        <v>1215.95</v>
      </c>
      <c r="E12" s="95">
        <f>'DOE25'!H13</f>
        <v>25687.02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188.1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1356.57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449453.69999999995</v>
      </c>
      <c r="D18" s="41">
        <f>SUM(D8:D17)</f>
        <v>7290.12</v>
      </c>
      <c r="E18" s="41">
        <f>SUM(E8:E17)</f>
        <v>25687.02</v>
      </c>
      <c r="F18" s="41">
        <f>SUM(F8:F17)</f>
        <v>0</v>
      </c>
      <c r="G18" s="41">
        <f>SUM(G8:G17)</f>
        <v>557098.26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24694.05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43863.65</v>
      </c>
      <c r="D23" s="95">
        <f>'DOE25'!G24</f>
        <v>3362.7</v>
      </c>
      <c r="E23" s="95">
        <f>'DOE25'!H24</f>
        <v>192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13362.35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4059.64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800.97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61285.64</v>
      </c>
      <c r="D31" s="41">
        <f>SUM(D21:D30)</f>
        <v>3362.7</v>
      </c>
      <c r="E31" s="41">
        <f>SUM(E21:E30)</f>
        <v>25687.02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1356.57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2570.8499999999985</v>
      </c>
      <c r="E47" s="95">
        <f>'DOE25'!H48</f>
        <v>0</v>
      </c>
      <c r="F47" s="95">
        <f>'DOE25'!I48</f>
        <v>0</v>
      </c>
      <c r="G47" s="95">
        <f>'DOE25'!J48</f>
        <v>557098.26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388168.06000000006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388168.06000000006</v>
      </c>
      <c r="D50" s="41">
        <f>SUM(D34:D49)</f>
        <v>3927.4199999999983</v>
      </c>
      <c r="E50" s="41">
        <f>SUM(E34:E49)</f>
        <v>0</v>
      </c>
      <c r="F50" s="41">
        <f>SUM(F34:F49)</f>
        <v>0</v>
      </c>
      <c r="G50" s="41">
        <f>SUM(G34:G49)</f>
        <v>557098.26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449453.70000000007</v>
      </c>
      <c r="D51" s="41">
        <f>D50+D31</f>
        <v>7290.1199999999981</v>
      </c>
      <c r="E51" s="41">
        <f>E50+E31</f>
        <v>25687.02</v>
      </c>
      <c r="F51" s="41">
        <f>F50+F31</f>
        <v>0</v>
      </c>
      <c r="G51" s="41">
        <f>G50+G31</f>
        <v>557098.26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1387772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456676.62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138.99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7466.93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15140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121451.42</v>
      </c>
      <c r="D61" s="95">
        <f>SUM('DOE25'!G98:G110)</f>
        <v>0</v>
      </c>
      <c r="E61" s="95">
        <f>SUM('DOE25'!H98:H110)</f>
        <v>3748.78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578267.03</v>
      </c>
      <c r="D62" s="130">
        <f>SUM(D57:D61)</f>
        <v>15140</v>
      </c>
      <c r="E62" s="130">
        <f>SUM(E57:E61)</f>
        <v>3748.78</v>
      </c>
      <c r="F62" s="130">
        <f>SUM(F57:F61)</f>
        <v>0</v>
      </c>
      <c r="G62" s="130">
        <f>SUM(G57:G61)</f>
        <v>7466.93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1966039.03</v>
      </c>
      <c r="D63" s="22">
        <f>D56+D62</f>
        <v>15140</v>
      </c>
      <c r="E63" s="22">
        <f>E56+E62</f>
        <v>3748.78</v>
      </c>
      <c r="F63" s="22">
        <f>F56+F62</f>
        <v>0</v>
      </c>
      <c r="G63" s="22">
        <f>G56+G62</f>
        <v>7466.93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0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525089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525089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657.54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657.54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525089</v>
      </c>
      <c r="D81" s="130">
        <f>SUM(D79:D80)+D78+D70</f>
        <v>657.54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6046.78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2989.54</v>
      </c>
      <c r="D88" s="95">
        <f>SUM('DOE25'!G153:G161)</f>
        <v>21155.25</v>
      </c>
      <c r="E88" s="95">
        <f>SUM('DOE25'!H153:H161)</f>
        <v>35381.380000000005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2989.54</v>
      </c>
      <c r="D91" s="131">
        <f>SUM(D85:D90)</f>
        <v>21155.25</v>
      </c>
      <c r="E91" s="131">
        <f>SUM(E85:E90)</f>
        <v>41428.160000000003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6000</v>
      </c>
      <c r="E96" s="95">
        <f>'DOE25'!H179</f>
        <v>0</v>
      </c>
      <c r="F96" s="95">
        <f>'DOE25'!I179</f>
        <v>0</v>
      </c>
      <c r="G96" s="95">
        <f>'DOE25'!J179</f>
        <v>25000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63275.15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63275.15</v>
      </c>
      <c r="D103" s="86">
        <f>SUM(D93:D102)</f>
        <v>6000</v>
      </c>
      <c r="E103" s="86">
        <f>SUM(E93:E102)</f>
        <v>0</v>
      </c>
      <c r="F103" s="86">
        <f>SUM(F93:F102)</f>
        <v>0</v>
      </c>
      <c r="G103" s="86">
        <f>SUM(G93:G102)</f>
        <v>25000</v>
      </c>
    </row>
    <row r="104" spans="1:7" ht="12.75" thickTop="1" thickBot="1" x14ac:dyDescent="0.25">
      <c r="A104" s="33" t="s">
        <v>759</v>
      </c>
      <c r="C104" s="86">
        <f>C63+C81+C91+C103</f>
        <v>2557392.7200000002</v>
      </c>
      <c r="D104" s="86">
        <f>D63+D81+D91+D103</f>
        <v>42952.79</v>
      </c>
      <c r="E104" s="86">
        <f>E63+E81+E91+E103</f>
        <v>45176.94</v>
      </c>
      <c r="F104" s="86">
        <f>F63+F81+F91+F103</f>
        <v>0</v>
      </c>
      <c r="G104" s="86">
        <f>G63+G81+G103</f>
        <v>32466.93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1053613.7500000002</v>
      </c>
      <c r="D109" s="24" t="s">
        <v>286</v>
      </c>
      <c r="E109" s="95">
        <f>('DOE25'!L276)+('DOE25'!L295)+('DOE25'!L314)</f>
        <v>36078.18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135290.63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8750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89225.65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1286880.0300000003</v>
      </c>
      <c r="D115" s="86">
        <f>SUM(D109:D114)</f>
        <v>0</v>
      </c>
      <c r="E115" s="86">
        <f>SUM(E109:E114)</f>
        <v>36078.18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319669.59000000003</v>
      </c>
      <c r="D118" s="24" t="s">
        <v>286</v>
      </c>
      <c r="E118" s="95">
        <f>+('DOE25'!L281)+('DOE25'!L300)+('DOE25'!L319)</f>
        <v>120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43616.159999999996</v>
      </c>
      <c r="D119" s="24" t="s">
        <v>286</v>
      </c>
      <c r="E119" s="95">
        <f>+('DOE25'!L282)+('DOE25'!L301)+('DOE25'!L320)</f>
        <v>8815.76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258302.30999999997</v>
      </c>
      <c r="D120" s="24" t="s">
        <v>286</v>
      </c>
      <c r="E120" s="95">
        <f>+('DOE25'!L283)+('DOE25'!L302)+('DOE25'!L321)</f>
        <v>163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185238.47999999998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281635.14999999997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118278.15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5296.59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54991.91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1212036.43</v>
      </c>
      <c r="D128" s="86">
        <f>SUM(D118:D127)</f>
        <v>54991.91</v>
      </c>
      <c r="E128" s="86">
        <f>SUM(E118:E127)</f>
        <v>9098.76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65462.6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6000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32466.93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-7466.93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96462.6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2595379.06</v>
      </c>
      <c r="D145" s="86">
        <f>(D115+D128+D144)</f>
        <v>54991.91</v>
      </c>
      <c r="E145" s="86">
        <f>(E115+E128+E144)</f>
        <v>45176.94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Pittsburg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21601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39510</v>
      </c>
    </row>
    <row r="7" spans="1:4" x14ac:dyDescent="0.2">
      <c r="B7" t="s">
        <v>699</v>
      </c>
      <c r="C7" s="179">
        <f>IF('DOE25'!I665+'DOE25'!I670=0,0,ROUND('DOE25'!I672,0))</f>
        <v>27065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1089692</v>
      </c>
      <c r="D10" s="182">
        <f>ROUND((C10/$C$28)*100,1)</f>
        <v>42.2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135291</v>
      </c>
      <c r="D11" s="182">
        <f>ROUND((C11/$C$28)*100,1)</f>
        <v>5.2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8750</v>
      </c>
      <c r="D12" s="182">
        <f>ROUND((C12/$C$28)*100,1)</f>
        <v>0.3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89226</v>
      </c>
      <c r="D13" s="182">
        <f>ROUND((C13/$C$28)*100,1)</f>
        <v>3.5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319790</v>
      </c>
      <c r="D15" s="182">
        <f t="shared" ref="D15:D27" si="0">ROUND((C15/$C$28)*100,1)</f>
        <v>12.4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52432</v>
      </c>
      <c r="D16" s="182">
        <f t="shared" si="0"/>
        <v>2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263762</v>
      </c>
      <c r="D17" s="182">
        <f t="shared" si="0"/>
        <v>10.199999999999999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185238</v>
      </c>
      <c r="D18" s="182">
        <f t="shared" si="0"/>
        <v>7.2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281635</v>
      </c>
      <c r="D20" s="182">
        <f t="shared" si="0"/>
        <v>10.9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118278</v>
      </c>
      <c r="D21" s="182">
        <f t="shared" si="0"/>
        <v>4.5999999999999996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39852</v>
      </c>
      <c r="D27" s="182">
        <f t="shared" si="0"/>
        <v>1.5</v>
      </c>
    </row>
    <row r="28" spans="1:4" x14ac:dyDescent="0.2">
      <c r="B28" s="187" t="s">
        <v>717</v>
      </c>
      <c r="C28" s="180">
        <f>SUM(C10:C27)</f>
        <v>2583946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65463</v>
      </c>
    </row>
    <row r="30" spans="1:4" x14ac:dyDescent="0.2">
      <c r="B30" s="187" t="s">
        <v>723</v>
      </c>
      <c r="C30" s="180">
        <f>SUM(C28:C29)</f>
        <v>2649409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1387772</v>
      </c>
      <c r="D35" s="182">
        <f t="shared" ref="D35:D40" si="1">ROUND((C35/$C$41)*100,1)</f>
        <v>54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589482.74</v>
      </c>
      <c r="D36" s="182">
        <f t="shared" si="1"/>
        <v>22.9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525089</v>
      </c>
      <c r="D37" s="182">
        <f t="shared" si="1"/>
        <v>20.399999999999999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658</v>
      </c>
      <c r="D38" s="182">
        <f t="shared" si="1"/>
        <v>0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65573</v>
      </c>
      <c r="D39" s="182">
        <f t="shared" si="1"/>
        <v>2.6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2568574.7400000002</v>
      </c>
      <c r="D41" s="184">
        <f>SUM(D35:D40)</f>
        <v>99.9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Pittsburg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2018-07-01T18:17:51Z</cp:lastPrinted>
  <dcterms:created xsi:type="dcterms:W3CDTF">1997-12-04T19:04:30Z</dcterms:created>
  <dcterms:modified xsi:type="dcterms:W3CDTF">2018-12-03T19:51:59Z</dcterms:modified>
</cp:coreProperties>
</file>