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11595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" i="10" s="1"/>
  <c r="L199" i="1"/>
  <c r="L200" i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L220" i="1"/>
  <c r="L238" i="1"/>
  <c r="F7" i="13"/>
  <c r="G7" i="13"/>
  <c r="L203" i="1"/>
  <c r="L221" i="1"/>
  <c r="L239" i="1"/>
  <c r="C16" i="10" s="1"/>
  <c r="F12" i="13"/>
  <c r="G12" i="13"/>
  <c r="L205" i="1"/>
  <c r="L223" i="1"/>
  <c r="C18" i="10" s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G661" i="1" s="1"/>
  <c r="I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C17" i="10" s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5" i="2" s="1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H641" i="1" s="1"/>
  <c r="I461" i="1"/>
  <c r="F470" i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K545" i="1" s="1"/>
  <c r="L534" i="1"/>
  <c r="F539" i="1"/>
  <c r="G539" i="1"/>
  <c r="H539" i="1"/>
  <c r="I539" i="1"/>
  <c r="J539" i="1"/>
  <c r="K539" i="1"/>
  <c r="L539" i="1"/>
  <c r="L545" i="1" s="1"/>
  <c r="F544" i="1"/>
  <c r="G544" i="1"/>
  <c r="H544" i="1"/>
  <c r="I544" i="1"/>
  <c r="I545" i="1" s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G640" i="1"/>
  <c r="H640" i="1"/>
  <c r="G641" i="1"/>
  <c r="J641" i="1" s="1"/>
  <c r="G642" i="1"/>
  <c r="H642" i="1"/>
  <c r="G643" i="1"/>
  <c r="J643" i="1" s="1"/>
  <c r="H643" i="1"/>
  <c r="G644" i="1"/>
  <c r="H644" i="1"/>
  <c r="G645" i="1"/>
  <c r="J645" i="1" s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F192" i="1"/>
  <c r="I257" i="1"/>
  <c r="I271" i="1" s="1"/>
  <c r="G164" i="2"/>
  <c r="C18" i="2"/>
  <c r="C26" i="10"/>
  <c r="L328" i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J257" i="1"/>
  <c r="J271" i="1" s="1"/>
  <c r="H112" i="1"/>
  <c r="F112" i="1"/>
  <c r="K605" i="1"/>
  <c r="G648" i="1" s="1"/>
  <c r="L419" i="1"/>
  <c r="D81" i="2"/>
  <c r="I169" i="1"/>
  <c r="H169" i="1"/>
  <c r="G552" i="1"/>
  <c r="J644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338" i="1"/>
  <c r="G352" i="1" s="1"/>
  <c r="F169" i="1"/>
  <c r="J140" i="1"/>
  <c r="H257" i="1"/>
  <c r="H271" i="1" s="1"/>
  <c r="I552" i="1"/>
  <c r="K549" i="1"/>
  <c r="K550" i="1"/>
  <c r="G22" i="2"/>
  <c r="J552" i="1"/>
  <c r="H552" i="1"/>
  <c r="C29" i="10"/>
  <c r="H140" i="1"/>
  <c r="L401" i="1"/>
  <c r="C139" i="2" s="1"/>
  <c r="L393" i="1"/>
  <c r="A13" i="12"/>
  <c r="F22" i="13"/>
  <c r="C22" i="13" s="1"/>
  <c r="H25" i="13"/>
  <c r="C25" i="13" s="1"/>
  <c r="J651" i="1"/>
  <c r="J640" i="1"/>
  <c r="H571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L570" i="1"/>
  <c r="I571" i="1"/>
  <c r="J636" i="1"/>
  <c r="G36" i="2"/>
  <c r="L565" i="1"/>
  <c r="G545" i="1"/>
  <c r="H545" i="1"/>
  <c r="K551" i="1"/>
  <c r="C138" i="2"/>
  <c r="C16" i="13"/>
  <c r="H33" i="13"/>
  <c r="F660" i="1" l="1"/>
  <c r="F664" i="1" s="1"/>
  <c r="K552" i="1"/>
  <c r="E33" i="13"/>
  <c r="D35" i="13" s="1"/>
  <c r="H660" i="1"/>
  <c r="H664" i="1" s="1"/>
  <c r="G257" i="1"/>
  <c r="G271" i="1" s="1"/>
  <c r="K500" i="1"/>
  <c r="C78" i="2"/>
  <c r="C81" i="2" s="1"/>
  <c r="L211" i="1"/>
  <c r="L257" i="1" s="1"/>
  <c r="L271" i="1" s="1"/>
  <c r="G632" i="1" s="1"/>
  <c r="J632" i="1" s="1"/>
  <c r="L362" i="1"/>
  <c r="C27" i="10" s="1"/>
  <c r="C28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G635" i="1"/>
  <c r="J635" i="1" s="1"/>
  <c r="D31" i="13" l="1"/>
  <c r="C31" i="13" s="1"/>
  <c r="G104" i="2"/>
  <c r="I660" i="1"/>
  <c r="I664" i="1" s="1"/>
  <c r="I672" i="1" s="1"/>
  <c r="C7" i="10" s="1"/>
  <c r="F672" i="1"/>
  <c r="C4" i="10" s="1"/>
  <c r="F667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<sst xmlns="http://schemas.openxmlformats.org/spreadsheetml/2006/main" count="3957" uniqueCount="913">
  <si>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</si>
  <si>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</si>
  <si>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</si>
  <si>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</si>
  <si>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</si>
  <si>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</si>
  <si>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</si>
  <si>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</si>
  <si>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</si>
  <si>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</si>
  <si>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</si>
  <si>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</si>
  <si>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</si>
  <si>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</si>
  <si>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</si>
  <si>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</si>
  <si>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</si>
  <si>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</si>
  <si>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</si>
  <si>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</si>
  <si>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</si>
  <si>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</si>
  <si>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</si>
  <si>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</si>
  <si>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</si>
  <si>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</si>
  <si>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</si>
  <si>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</si>
  <si>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</si>
  <si>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</si>
  <si>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</si>
  <si>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</si>
  <si>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</si>
  <si>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</si>
  <si>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</si>
  <si>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</si>
  <si>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</si>
  <si>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</si>
  <si>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</si>
  <si>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</si>
  <si>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</si>
  <si>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</si>
  <si>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</si>
  <si>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</si>
  <si>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</si>
  <si>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</si>
  <si>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</si>
  <si>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</si>
  <si>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</si>
  <si>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</si>
  <si>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</si>
  <si>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</si>
  <si>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</si>
  <si>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</si>
  <si>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</si>
  <si>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</si>
  <si>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</si>
  <si>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</si>
  <si>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</si>
  <si>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</si>
  <si>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</si>
  <si>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</si>
  <si>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</si>
  <si>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</si>
  <si>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</si>
  <si>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</si>
  <si>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</si>
  <si>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</si>
  <si>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</si>
  <si>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</si>
  <si>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</si>
  <si>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</si>
  <si>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</si>
  <si>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</si>
  <si>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</si>
  <si>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</si>
  <si>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</si>
  <si>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</si>
  <si>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</si>
  <si>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</si>
  <si>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</si>
  <si>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</si>
  <si>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</si>
  <si>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</si>
  <si>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</si>
  <si>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</si>
  <si>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</si>
  <si>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</si>
  <si>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</si>
  <si>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</si>
  <si>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</si>
  <si>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</si>
  <si>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</si>
  <si>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</si>
  <si>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</si>
  <si>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</si>
  <si>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</si>
  <si>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</si>
  <si>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</si>
  <si>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</si>
  <si>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</si>
  <si>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</si>
  <si>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</si>
  <si>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</si>
  <si>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</si>
  <si>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</si>
  <si>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</si>
  <si>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</si>
  <si>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</si>
  <si>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</si>
  <si>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</si>
  <si>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</si>
  <si>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</si>
  <si>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</si>
  <si>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</si>
  <si>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</si>
  <si>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</si>
  <si>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</si>
  <si>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</si>
  <si>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</si>
  <si>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</si>
  <si>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</si>
  <si>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</si>
  <si>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</si>
  <si>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</si>
  <si>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</si>
  <si>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</si>
  <si>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</si>
  <si>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</si>
  <si>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</si>
  <si>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</si>
  <si>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</si>
  <si>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</si>
  <si>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</si>
  <si>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</si>
  <si>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</si>
  <si>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</si>
  <si>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</si>
  <si>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</si>
  <si>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</si>
  <si>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</si>
  <si>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</si>
  <si>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</si>
  <si>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</si>
  <si>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</si>
  <si>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</si>
  <si>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</si>
  <si>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</si>
  <si>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</si>
  <si>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</si>
  <si>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</si>
  <si>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</si>
  <si>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</si>
  <si>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</si>
  <si>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</si>
  <si>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</si>
  <si>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</si>
  <si>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</si>
  <si>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</si>
  <si>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</si>
  <si>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</si>
  <si>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</si>
  <si>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</si>
  <si>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</si>
  <si>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</si>
  <si>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</si>
  <si>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</si>
  <si>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</si>
  <si>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</si>
  <si>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</si>
  <si>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</si>
  <si>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</si>
  <si>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</si>
  <si>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</si>
  <si>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</si>
  <si>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</si>
  <si>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</si>
  <si>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</si>
  <si>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</si>
  <si>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</si>
  <si>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</si>
  <si>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</si>
  <si>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</si>
  <si>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</si>
  <si>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</si>
  <si>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</si>
  <si>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</si>
  <si>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</si>
  <si>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</si>
  <si>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</si>
  <si>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</si>
  <si>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</si>
  <si>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</si>
  <si>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</si>
  <si>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</si>
  <si>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</si>
  <si>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</si>
  <si>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</si>
  <si>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</si>
  <si>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</si>
  <si>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</si>
  <si>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</si>
  <si>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</si>
  <si>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</si>
  <si>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</si>
  <si>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</si>
  <si>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</si>
  <si>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</si>
  <si>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</si>
  <si>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</si>
  <si>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</si>
  <si>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</si>
  <si>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</si>
  <si>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</si>
  <si>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</si>
  <si>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</si>
  <si>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</si>
  <si>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</si>
  <si>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</si>
  <si>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</si>
  <si>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</si>
  <si>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</si>
  <si>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</si>
  <si>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</si>
  <si>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</si>
  <si>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</si>
  <si>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</si>
  <si>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</si>
  <si>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</si>
  <si>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</si>
  <si>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</si>
  <si>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</si>
  <si>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</si>
  <si>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</si>
  <si>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</si>
  <si>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</si>
  <si>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</si>
  <si>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</si>
  <si>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</si>
  <si>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</si>
  <si>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</si>
  <si>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</si>
  <si>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</si>
  <si>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</si>
  <si>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</si>
  <si>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</si>
  <si>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</si>
  <si>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</si>
  <si>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</si>
  <si>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</si>
  <si>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</si>
  <si>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</si>
  <si>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</si>
  <si>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</si>
  <si>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</si>
  <si>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</si>
  <si>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</si>
  <si>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</si>
  <si>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</si>
  <si>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</si>
  <si>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</si>
  <si>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</si>
  <si>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</si>
  <si>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</si>
  <si>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</si>
  <si>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</si>
  <si>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</si>
  <si>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</si>
  <si>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</si>
  <si>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</si>
  <si>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</si>
  <si>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</si>
  <si>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</si>
  <si>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</si>
  <si>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</si>
  <si>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</si>
  <si>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</si>
  <si>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</si>
  <si>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</si>
  <si>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</si>
  <si>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</si>
  <si>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</si>
  <si>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</si>
  <si>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</si>
  <si>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</si>
  <si>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</si>
  <si>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</si>
  <si>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</si>
  <si>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</si>
  <si>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</si>
  <si>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</si>
  <si>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</si>
  <si>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</si>
  <si>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</si>
  <si>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</si>
  <si>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</si>
  <si>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</si>
  <si>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</si>
  <si>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</si>
  <si>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</si>
  <si>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</si>
  <si>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</si>
  <si>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</si>
  <si>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</si>
  <si>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</si>
  <si>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</si>
  <si>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</si>
  <si>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</si>
  <si>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</si>
  <si>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</si>
  <si>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</si>
  <si>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</si>
  <si>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</si>
  <si>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</si>
  <si>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</si>
  <si>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</si>
  <si>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</si>
  <si>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</si>
  <si>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</si>
  <si>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</si>
  <si>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</si>
  <si>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</si>
  <si>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</si>
  <si>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</si>
  <si>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</si>
  <si>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</si>
  <si>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</si>
  <si>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</si>
  <si>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</si>
  <si>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</si>
  <si>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</si>
  <si>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</si>
  <si>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</si>
  <si>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</si>
  <si>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</si>
  <si>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</si>
  <si>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</si>
  <si>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</si>
  <si>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</si>
  <si>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</si>
  <si>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</si>
  <si>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</si>
  <si>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</si>
  <si>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</si>
  <si>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</si>
  <si>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</si>
  <si>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</si>
  <si>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</si>
  <si>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</si>
  <si>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</si>
  <si>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</si>
  <si>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</si>
  <si>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</si>
  <si>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</si>
  <si>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</si>
  <si>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</si>
  <si>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</si>
  <si>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</si>
  <si>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</si>
  <si>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</si>
  <si>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</si>
  <si>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</si>
  <si>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</si>
  <si>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</si>
  <si>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</si>
  <si>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</si>
  <si>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</si>
  <si>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</si>
  <si>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</si>
  <si>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</si>
  <si>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</si>
  <si>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</si>
  <si>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</si>
  <si>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</si>
  <si>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</si>
  <si>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</si>
  <si>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</si>
  <si>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</si>
  <si>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</si>
  <si>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</si>
  <si>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</si>
  <si>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</si>
  <si>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</si>
  <si>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</si>
  <si>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</si>
  <si>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</si>
  <si>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</si>
  <si>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</si>
  <si>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</si>
  <si>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</si>
  <si>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</si>
  <si>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</si>
  <si>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</si>
  <si>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</si>
  <si>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</si>
  <si>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</si>
  <si>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</si>
  <si>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</si>
  <si>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</si>
  <si>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</si>
  <si>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</si>
  <si>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</si>
  <si>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</si>
  <si>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</si>
  <si>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</si>
  <si>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</si>
  <si>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</si>
  <si>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</si>
  <si>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</si>
  <si>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</si>
  <si>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</si>
  <si>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</si>
  <si>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</si>
  <si>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</si>
  <si>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</si>
  <si>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</si>
  <si>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</si>
  <si>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</si>
  <si>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</si>
  <si>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</si>
  <si>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</si>
  <si>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</si>
  <si>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</si>
  <si>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</si>
  <si>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</si>
  <si>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</si>
  <si>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</si>
  <si>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</si>
  <si>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</si>
  <si>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</si>
  <si>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</si>
  <si>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</si>
  <si>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</si>
  <si>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</si>
  <si>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</si>
  <si>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</si>
  <si>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</si>
  <si>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</si>
  <si>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</si>
  <si>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</si>
  <si>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</si>
  <si>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</si>
  <si>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</si>
  <si>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</si>
  <si>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</si>
  <si>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</si>
  <si>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</si>
  <si>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</si>
  <si>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</si>
  <si>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</si>
  <si>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</si>
  <si>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</si>
  <si>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</si>
  <si>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</si>
  <si>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</si>
  <si>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</si>
  <si>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</si>
  <si>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</si>
  <si>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</si>
  <si>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</si>
  <si>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</si>
  <si>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</si>
  <si>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</si>
  <si>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</si>
  <si>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</si>
  <si>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</si>
  <si>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</si>
  <si>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</si>
  <si>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</si>
  <si>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</si>
  <si>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</si>
  <si>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</si>
  <si>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</si>
  <si>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</si>
  <si>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</si>
  <si>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</si>
  <si>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</si>
  <si>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</si>
  <si>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</si>
  <si>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</si>
  <si>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</si>
  <si>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</si>
  <si>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</si>
  <si>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</si>
  <si>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</si>
  <si>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</si>
  <si>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</si>
  <si>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</si>
  <si>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</si>
  <si>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</si>
  <si>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</si>
  <si>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</si>
  <si>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</si>
  <si>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</si>
  <si>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</si>
  <si>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</si>
  <si>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</si>
  <si>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</si>
  <si>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</si>
  <si>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</si>
  <si>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</si>
  <si>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</si>
  <si>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</si>
  <si>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</si>
  <si>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</si>
  <si>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</si>
  <si>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</si>
  <si>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</si>
  <si>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</si>
  <si>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</si>
  <si>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</si>
  <si>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</si>
  <si>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</si>
  <si>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</si>
  <si>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</si>
  <si>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</si>
  <si>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</si>
  <si>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</si>
  <si>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</si>
  <si>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</si>
  <si>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</si>
  <si>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</si>
  <si>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</si>
  <si>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</si>
  <si>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</si>
  <si>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</si>
  <si>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</si>
  <si>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</si>
  <si>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</si>
  <si>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</si>
  <si>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</si>
  <si>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</si>
  <si>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</si>
  <si>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</si>
  <si>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</si>
  <si>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</si>
  <si>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</si>
  <si>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</si>
  <si>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</si>
  <si>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</si>
  <si>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</si>
  <si>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</si>
  <si>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</si>
  <si>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</si>
  <si>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</si>
  <si>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</si>
  <si>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</si>
  <si>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</si>
  <si>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</si>
  <si>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</si>
  <si>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</si>
  <si>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</si>
  <si>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</si>
  <si>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</si>
  <si>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</si>
  <si>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</si>
  <si>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</si>
  <si>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</si>
  <si>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</si>
  <si>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</si>
  <si>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</si>
  <si>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</si>
  <si>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</si>
  <si>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</si>
  <si>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</si>
  <si>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</si>
  <si>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</si>
  <si>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</si>
  <si>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</si>
  <si>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</si>
  <si>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</si>
  <si>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</si>
  <si>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</si>
  <si>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</si>
  <si>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</si>
  <si>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</si>
  <si>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</si>
  <si>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</si>
  <si>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</si>
  <si>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</si>
  <si>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</si>
  <si>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</si>
  <si>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</si>
  <si>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</si>
  <si>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</si>
  <si>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</si>
  <si>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</si>
  <si>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</si>
  <si>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</si>
  <si>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</si>
  <si>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</si>
  <si>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</si>
  <si>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</si>
  <si>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</si>
  <si>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</si>
  <si>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</si>
  <si>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</si>
  <si>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</si>
  <si>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</si>
  <si>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</si>
  <si>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</si>
  <si>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</si>
  <si>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</si>
  <si>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</si>
  <si>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</si>
  <si>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</si>
  <si>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</si>
  <si>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</si>
  <si>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</si>
  <si>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</si>
  <si>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</si>
  <si>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</si>
  <si>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</si>
  <si>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</si>
  <si>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</si>
  <si>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</si>
  <si>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</si>
  <si>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</si>
  <si>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</si>
  <si>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</si>
  <si>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</si>
  <si>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</si>
  <si>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</si>
  <si>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</si>
  <si>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</si>
  <si>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</si>
  <si>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</si>
  <si>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</si>
  <si>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</si>
  <si>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</si>
  <si>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</si>
  <si>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</si>
  <si>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</si>
  <si>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</si>
  <si>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</si>
  <si>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</si>
  <si>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</si>
  <si>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</si>
  <si>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</si>
  <si>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</si>
  <si>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</si>
  <si>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</si>
  <si>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</si>
  <si>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</si>
  <si>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</si>
  <si>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</si>
  <si>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</si>
  <si>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</si>
  <si>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</si>
  <si>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</si>
  <si>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</si>
  <si>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</si>
  <si>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</si>
  <si>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</si>
  <si>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</si>
  <si>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</si>
  <si>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</si>
  <si>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</si>
  <si>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</si>
  <si>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</si>
  <si>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</si>
  <si>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</si>
  <si>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</si>
  <si>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</si>
  <si>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</si>
  <si>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</si>
  <si>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</si>
  <si>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</si>
  <si>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</si>
  <si>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</si>
  <si>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</si>
  <si>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</si>
  <si>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</si>
  <si>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</si>
  <si>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</si>
  <si>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</si>
  <si>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</si>
  <si>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</si>
  <si>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</si>
  <si>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</si>
  <si>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</si>
  <si>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</si>
  <si>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</si>
  <si>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</si>
  <si>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</si>
  <si>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</si>
  <si>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</si>
  <si>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</si>
  <si>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</si>
  <si>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</si>
  <si>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</si>
  <si>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</si>
  <si>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</si>
  <si>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</si>
  <si>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</si>
  <si>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</si>
  <si>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</si>
  <si>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</si>
  <si>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</si>
  <si>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</si>
  <si>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</si>
  <si>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</si>
  <si>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</si>
  <si>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</si>
  <si>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</si>
  <si>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</si>
  <si>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</si>
  <si>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</si>
  <si>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</si>
  <si>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</si>
  <si>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</si>
  <si>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</si>
  <si>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</si>
  <si>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</si>
  <si>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</si>
  <si>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</si>
  <si>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</si>
  <si>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</si>
  <si>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</si>
  <si>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</si>
  <si>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</si>
  <si>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</si>
  <si>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</si>
  <si>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</si>
  <si>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</si>
  <si>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</si>
  <si>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</si>
  <si>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</si>
  <si>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</si>
  <si>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</si>
  <si>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</si>
  <si>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</si>
  <si>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</si>
  <si>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</si>
  <si>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</si>
  <si>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</si>
  <si>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</si>
  <si>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</si>
  <si>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</si>
  <si>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</si>
  <si>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</si>
  <si>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</si>
  <si>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</si>
  <si>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</si>
  <si>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</si>
  <si>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</si>
  <si>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</si>
  <si>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</si>
  <si>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</si>
  <si>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</si>
  <si>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</si>
  <si>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</si>
  <si>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</si>
  <si>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</si>
  <si>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</si>
  <si>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</si>
  <si>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</si>
  <si>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</si>
  <si>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</si>
  <si>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</si>
  <si>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</si>
  <si>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</si>
  <si>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</si>
  <si>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</si>
  <si>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</si>
  <si>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</si>
  <si>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</si>
  <si>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</si>
  <si>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</si>
  <si>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</si>
  <si>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</si>
  <si>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</si>
  <si>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</si>
  <si>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</si>
  <si>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</si>
  <si>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</si>
  <si>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</si>
  <si>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</si>
  <si>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</si>
  <si>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</si>
  <si>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</si>
  <si>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</si>
  <si>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</si>
  <si>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</si>
  <si>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</si>
  <si>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</si>
  <si>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</si>
  <si>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</si>
  <si>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</si>
  <si>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</si>
  <si>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</si>
  <si>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</si>
  <si>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</si>
  <si>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</si>
  <si>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</si>
  <si>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</si>
  <si>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</si>
  <si>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</si>
  <si>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</si>
  <si>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</si>
  <si>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</si>
  <si>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</si>
  <si>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</si>
  <si>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</si>
  <si>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</si>
  <si>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</si>
  <si>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</si>
  <si>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</si>
  <si>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</si>
  <si>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</si>
  <si>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</si>
  <si>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</si>
  <si>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</si>
  <si>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</si>
  <si>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</si>
  <si>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</si>
  <si>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</si>
  <si>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</si>
  <si>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</si>
  <si>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</si>
  <si>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</si>
  <si>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</si>
  <si>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</si>
  <si>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</si>
  <si>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</si>
  <si>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</si>
  <si>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</si>
  <si>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</si>
  <si>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</si>
  <si>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</si>
  <si>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</si>
  <si>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</si>
  <si>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</si>
  <si>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</si>
  <si>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</si>
  <si>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</si>
  <si>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</si>
  <si>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</si>
  <si>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</si>
  <si>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</si>
  <si>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</si>
  <si>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</si>
  <si>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</si>
  <si>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</si>
  <si>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</si>
  <si>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</si>
  <si>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</si>
  <si>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</si>
  <si>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</si>
  <si>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</si>
  <si>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</si>
  <si>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</si>
  <si>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</si>
  <si>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</si>
  <si>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</si>
  <si>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</si>
  <si>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</si>
  <si>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</si>
  <si>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</si>
  <si>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</si>
  <si>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</si>
  <si>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</si>
  <si>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</si>
  <si>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</si>
  <si>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</si>
  <si>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</si>
  <si>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</si>
  <si>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</si>
  <si>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</si>
  <si>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</si>
  <si>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</si>
  <si>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</si>
  <si>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</si>
  <si>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</si>
  <si>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</si>
  <si>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</si>
  <si>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</si>
  <si>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</si>
  <si>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</si>
  <si>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</si>
  <si>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</si>
  <si>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</si>
  <si>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</si>
  <si>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</si>
  <si>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</si>
  <si>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</si>
  <si>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</si>
  <si>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</si>
  <si>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</si>
  <si>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</si>
  <si>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</si>
  <si>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</si>
  <si>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</si>
  <si>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</si>
  <si>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</si>
  <si>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</si>
  <si>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</si>
  <si>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</si>
  <si>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</si>
  <si>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</si>
  <si>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</si>
  <si>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</si>
  <si>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</si>
  <si>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</si>
  <si>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</si>
  <si>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</si>
  <si>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</si>
  <si>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</si>
  <si>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</si>
  <si>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</si>
  <si>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</si>
  <si>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</si>
  <si>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Pittsfield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</si>
</sst>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439</v>
      </c>
      <c r="C2" s="21">
        <v>439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554169.29</v>
      </c>
      <c r="G9" s="18">
        <v>161190.51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208438.17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195871.72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21326.27</v>
      </c>
      <c r="G13" s="18">
        <v>42779.98</v>
      </c>
      <c r="H13" s="18">
        <v>111219.68</v>
      </c>
      <c r="I13" s="18"/>
      <c r="J13" s="67">
        <f>SUM(I442)</f>
        <v>462082.39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37243.199999999997</v>
      </c>
      <c r="G14" s="18"/>
      <c r="H14" s="18">
        <v>27826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9975.17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808610.48</v>
      </c>
      <c r="G19" s="41">
        <f>SUM(G9:G18)</f>
        <v>213945.66000000003</v>
      </c>
      <c r="H19" s="41">
        <f>SUM(H9:H18)</f>
        <v>139045.68</v>
      </c>
      <c r="I19" s="41">
        <f>SUM(I9:I18)</f>
        <v>0</v>
      </c>
      <c r="J19" s="41">
        <f>SUM(J9:J18)</f>
        <v>670520.56000000006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20463.64</v>
      </c>
      <c r="G22" s="18">
        <v>194742.57</v>
      </c>
      <c r="H22" s="18">
        <v>1129.1500000000001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250343.38</v>
      </c>
      <c r="G24" s="18">
        <v>3485.35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435366.25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137916.53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706173.27</v>
      </c>
      <c r="G32" s="41">
        <f>SUM(G22:G31)</f>
        <v>198227.92</v>
      </c>
      <c r="H32" s="41">
        <f>SUM(H22:H31)</f>
        <v>139045.68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9975.17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208438.17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5742.57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462082.39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102437.21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102437.21</v>
      </c>
      <c r="G51" s="41">
        <f>SUM(G35:G50)</f>
        <v>15717.74</v>
      </c>
      <c r="H51" s="41">
        <f>SUM(H35:H50)</f>
        <v>0</v>
      </c>
      <c r="I51" s="41">
        <f>SUM(I35:I50)</f>
        <v>0</v>
      </c>
      <c r="J51" s="41">
        <f>SUM(J35:J50)</f>
        <v>670520.56000000006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808610.48</v>
      </c>
      <c r="G52" s="41">
        <f>G51+G32</f>
        <v>213945.66</v>
      </c>
      <c r="H52" s="41">
        <f>H51+H32</f>
        <v>139045.68</v>
      </c>
      <c r="I52" s="41">
        <f>I51+I32</f>
        <v>0</v>
      </c>
      <c r="J52" s="41">
        <f>J51+J32</f>
        <v>670520.56000000006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4897641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4897641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142.55000000000001</v>
      </c>
      <c r="G96" s="18">
        <v>11.83</v>
      </c>
      <c r="H96" s="18"/>
      <c r="I96" s="18"/>
      <c r="J96" s="18">
        <v>5606.68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73655.5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250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321407.21000000002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100</v>
      </c>
      <c r="G110" s="18"/>
      <c r="H110" s="18"/>
      <c r="I110" s="18"/>
      <c r="J110" s="18">
        <v>13651.77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492.55</v>
      </c>
      <c r="G111" s="41">
        <f>SUM(G96:G110)</f>
        <v>73667.33</v>
      </c>
      <c r="H111" s="41">
        <f>SUM(H96:H110)</f>
        <v>321407.21000000002</v>
      </c>
      <c r="I111" s="41">
        <f>SUM(I96:I110)</f>
        <v>0</v>
      </c>
      <c r="J111" s="41">
        <f>SUM(J96:J110)</f>
        <v>19258.45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4898133.55</v>
      </c>
      <c r="G112" s="41">
        <f>G60+G111</f>
        <v>73667.33</v>
      </c>
      <c r="H112" s="41">
        <f>H60+H79+H94+H111</f>
        <v>321407.21000000002</v>
      </c>
      <c r="I112" s="41">
        <f>I60+I111</f>
        <v>0</v>
      </c>
      <c r="J112" s="41">
        <f>J60+J111</f>
        <v>19258.45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4139094.89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561693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5127.97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4705915.8600000003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89923.26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144839.46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8803.5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4122.5600000000004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243566.21999999997</v>
      </c>
      <c r="G136" s="41">
        <f>SUM(G123:G135)</f>
        <v>4122.5600000000004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4949482.08</v>
      </c>
      <c r="G140" s="41">
        <f>G121+SUM(G136:G137)</f>
        <v>4122.5600000000004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3581.85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318642.02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42270.87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206406.84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163794.12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110095.23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110095.23</v>
      </c>
      <c r="G162" s="41">
        <f>SUM(G150:G161)</f>
        <v>206406.84</v>
      </c>
      <c r="H162" s="41">
        <f>SUM(H150:H161)</f>
        <v>528288.86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110095.23</v>
      </c>
      <c r="G169" s="41">
        <f>G147+G162+SUM(G163:G168)</f>
        <v>206406.84</v>
      </c>
      <c r="H169" s="41">
        <f>H147+H162+SUM(H163:H168)</f>
        <v>528288.86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13759.82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2681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2681</v>
      </c>
      <c r="G183" s="41">
        <f>SUM(G179:G182)</f>
        <v>13759.82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2681</v>
      </c>
      <c r="G192" s="41">
        <f>G183+SUM(G188:G191)</f>
        <v>13759.82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9960391.8599999994</v>
      </c>
      <c r="G193" s="47">
        <f>G112+G140+G169+G192</f>
        <v>297956.55</v>
      </c>
      <c r="H193" s="47">
        <f>H112+H140+H169+H192</f>
        <v>849696.07000000007</v>
      </c>
      <c r="I193" s="47">
        <f>I112+I140+I169+I192</f>
        <v>0</v>
      </c>
      <c r="J193" s="47">
        <f>J112+J140+J192</f>
        <v>19258.45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981238.59</v>
      </c>
      <c r="G197" s="18">
        <v>583201.31000000006</v>
      </c>
      <c r="H197" s="18"/>
      <c r="I197" s="18">
        <v>34199.53</v>
      </c>
      <c r="J197" s="18">
        <v>805.25</v>
      </c>
      <c r="K197" s="18">
        <v>7673.93</v>
      </c>
      <c r="L197" s="19">
        <f>SUM(F197:K197)</f>
        <v>1607118.6099999999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533029.31000000006</v>
      </c>
      <c r="G198" s="18">
        <v>244205.09</v>
      </c>
      <c r="H198" s="18">
        <v>221330.84</v>
      </c>
      <c r="I198" s="18">
        <v>1640.49</v>
      </c>
      <c r="J198" s="18"/>
      <c r="K198" s="18">
        <v>1014.3</v>
      </c>
      <c r="L198" s="19">
        <f>SUM(F198:K198)</f>
        <v>1001220.03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700</v>
      </c>
      <c r="G200" s="18">
        <v>173</v>
      </c>
      <c r="H200" s="18"/>
      <c r="I200" s="18"/>
      <c r="J200" s="18"/>
      <c r="K200" s="18"/>
      <c r="L200" s="19">
        <f>SUM(F200:K200)</f>
        <v>873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112028.69</v>
      </c>
      <c r="G202" s="18">
        <v>81038.44</v>
      </c>
      <c r="H202" s="18">
        <v>239209.54</v>
      </c>
      <c r="I202" s="18">
        <v>3335.6</v>
      </c>
      <c r="J202" s="18"/>
      <c r="K202" s="18">
        <v>220</v>
      </c>
      <c r="L202" s="19">
        <f t="shared" ref="L202:L208" si="0">SUM(F202:K202)</f>
        <v>435832.27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94399.65</v>
      </c>
      <c r="G203" s="18">
        <v>43938.61</v>
      </c>
      <c r="H203" s="18">
        <v>19362.97</v>
      </c>
      <c r="I203" s="18">
        <v>27712.02</v>
      </c>
      <c r="J203" s="18">
        <v>29910.76</v>
      </c>
      <c r="K203" s="18"/>
      <c r="L203" s="19">
        <f t="shared" si="0"/>
        <v>215324.01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111394.69</v>
      </c>
      <c r="G204" s="18">
        <v>55911.44</v>
      </c>
      <c r="H204" s="18">
        <v>29116.17</v>
      </c>
      <c r="I204" s="18">
        <v>3143.35</v>
      </c>
      <c r="J204" s="18"/>
      <c r="K204" s="18">
        <v>3191.25</v>
      </c>
      <c r="L204" s="19">
        <f t="shared" si="0"/>
        <v>202756.9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277949.3</v>
      </c>
      <c r="G205" s="18">
        <v>137425.01999999999</v>
      </c>
      <c r="H205" s="18">
        <v>20377.79</v>
      </c>
      <c r="I205" s="18">
        <v>2730.27</v>
      </c>
      <c r="J205" s="18"/>
      <c r="K205" s="18">
        <v>1151.02</v>
      </c>
      <c r="L205" s="19">
        <f t="shared" si="0"/>
        <v>439633.39999999997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103166.08</v>
      </c>
      <c r="G207" s="18">
        <v>83229.86</v>
      </c>
      <c r="H207" s="18">
        <v>92840.960000000006</v>
      </c>
      <c r="I207" s="18">
        <v>69438.5</v>
      </c>
      <c r="J207" s="18">
        <v>4514.2700000000004</v>
      </c>
      <c r="K207" s="18"/>
      <c r="L207" s="19">
        <f t="shared" si="0"/>
        <v>353189.67000000004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300215.90999999997</v>
      </c>
      <c r="I208" s="18"/>
      <c r="J208" s="18"/>
      <c r="K208" s="18"/>
      <c r="L208" s="19">
        <f t="shared" si="0"/>
        <v>300215.90999999997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2213906.3099999996</v>
      </c>
      <c r="G211" s="41">
        <f t="shared" si="1"/>
        <v>1229122.7700000003</v>
      </c>
      <c r="H211" s="41">
        <f t="shared" si="1"/>
        <v>922454.17999999993</v>
      </c>
      <c r="I211" s="41">
        <f t="shared" si="1"/>
        <v>142199.76</v>
      </c>
      <c r="J211" s="41">
        <f t="shared" si="1"/>
        <v>35230.28</v>
      </c>
      <c r="K211" s="41">
        <f t="shared" si="1"/>
        <v>13250.5</v>
      </c>
      <c r="L211" s="41">
        <f t="shared" si="1"/>
        <v>4556163.8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283975.7</v>
      </c>
      <c r="G215" s="18">
        <v>134349.6</v>
      </c>
      <c r="H215" s="18">
        <v>1543.68</v>
      </c>
      <c r="I215" s="18">
        <v>7374.96</v>
      </c>
      <c r="J215" s="18"/>
      <c r="K215" s="18">
        <v>1049.83</v>
      </c>
      <c r="L215" s="19">
        <f>SUM(F215:K215)</f>
        <v>428293.77000000008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172100.65</v>
      </c>
      <c r="G216" s="18">
        <v>71847.75</v>
      </c>
      <c r="H216" s="18">
        <v>15908.46</v>
      </c>
      <c r="I216" s="18">
        <v>276.75</v>
      </c>
      <c r="J216" s="18"/>
      <c r="K216" s="18">
        <v>248.63</v>
      </c>
      <c r="L216" s="19">
        <f>SUM(F216:K216)</f>
        <v>260382.24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12008.75</v>
      </c>
      <c r="G218" s="18">
        <v>1340.28</v>
      </c>
      <c r="H218" s="18">
        <v>3031.65</v>
      </c>
      <c r="I218" s="18">
        <v>2318.83</v>
      </c>
      <c r="J218" s="18"/>
      <c r="K218" s="18">
        <v>545</v>
      </c>
      <c r="L218" s="19">
        <f>SUM(F218:K218)</f>
        <v>19244.510000000002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66012.13</v>
      </c>
      <c r="G220" s="18">
        <v>40078.870000000003</v>
      </c>
      <c r="H220" s="18">
        <v>31077.74</v>
      </c>
      <c r="I220" s="18">
        <v>781.09</v>
      </c>
      <c r="J220" s="18"/>
      <c r="K220" s="18">
        <v>60.39</v>
      </c>
      <c r="L220" s="19">
        <f t="shared" ref="L220:L226" si="2">SUM(F220:K220)</f>
        <v>138010.22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28495.39</v>
      </c>
      <c r="G221" s="18">
        <v>16555.580000000002</v>
      </c>
      <c r="H221" s="18">
        <v>13413.85</v>
      </c>
      <c r="I221" s="18">
        <v>8075.68</v>
      </c>
      <c r="J221" s="18">
        <v>19665.48</v>
      </c>
      <c r="K221" s="18"/>
      <c r="L221" s="19">
        <f t="shared" si="2"/>
        <v>86205.98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30380.37</v>
      </c>
      <c r="G222" s="18">
        <v>15248.57</v>
      </c>
      <c r="H222" s="18">
        <v>7940.76</v>
      </c>
      <c r="I222" s="18">
        <v>857.27</v>
      </c>
      <c r="J222" s="18"/>
      <c r="K222" s="18">
        <v>870.33</v>
      </c>
      <c r="L222" s="19">
        <f t="shared" si="2"/>
        <v>55297.3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70655.759999999995</v>
      </c>
      <c r="G223" s="18">
        <v>30335.33</v>
      </c>
      <c r="H223" s="18">
        <v>6198.14</v>
      </c>
      <c r="I223" s="18">
        <v>1741.88</v>
      </c>
      <c r="J223" s="18"/>
      <c r="K223" s="18">
        <v>14.88</v>
      </c>
      <c r="L223" s="19">
        <f t="shared" si="2"/>
        <v>108945.99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46427.48</v>
      </c>
      <c r="G225" s="18">
        <v>38106.46</v>
      </c>
      <c r="H225" s="18">
        <v>56026.42</v>
      </c>
      <c r="I225" s="18">
        <v>51566.8</v>
      </c>
      <c r="J225" s="18">
        <v>1853.85</v>
      </c>
      <c r="K225" s="18"/>
      <c r="L225" s="19">
        <f t="shared" si="2"/>
        <v>193981.00999999998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42135.71</v>
      </c>
      <c r="I226" s="18"/>
      <c r="J226" s="18"/>
      <c r="K226" s="18"/>
      <c r="L226" s="19">
        <f t="shared" si="2"/>
        <v>42135.71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710056.23</v>
      </c>
      <c r="G229" s="41">
        <f>SUM(G215:G228)</f>
        <v>347862.44000000006</v>
      </c>
      <c r="H229" s="41">
        <f>SUM(H215:H228)</f>
        <v>177276.41</v>
      </c>
      <c r="I229" s="41">
        <f>SUM(I215:I228)</f>
        <v>72993.260000000009</v>
      </c>
      <c r="J229" s="41">
        <f>SUM(J215:J228)</f>
        <v>21519.329999999998</v>
      </c>
      <c r="K229" s="41">
        <f t="shared" si="3"/>
        <v>2789.0600000000004</v>
      </c>
      <c r="L229" s="41">
        <f t="shared" si="3"/>
        <v>1332496.73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715847.29</v>
      </c>
      <c r="G233" s="18">
        <v>403495.15</v>
      </c>
      <c r="H233" s="18">
        <v>16954.759999999998</v>
      </c>
      <c r="I233" s="18">
        <v>23625.63</v>
      </c>
      <c r="J233" s="18"/>
      <c r="K233" s="18">
        <v>5753.27</v>
      </c>
      <c r="L233" s="19">
        <f>SUM(F233:K233)</f>
        <v>1165676.0999999999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254313.97</v>
      </c>
      <c r="G234" s="18">
        <v>131719.74</v>
      </c>
      <c r="H234" s="18">
        <v>646816.30000000005</v>
      </c>
      <c r="I234" s="18">
        <v>604.12</v>
      </c>
      <c r="J234" s="18"/>
      <c r="K234" s="18">
        <v>415.87</v>
      </c>
      <c r="L234" s="19">
        <f>SUM(F234:K234)</f>
        <v>1033870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50474.94</v>
      </c>
      <c r="I235" s="18"/>
      <c r="J235" s="18"/>
      <c r="K235" s="18"/>
      <c r="L235" s="19">
        <f>SUM(F235:K235)</f>
        <v>50474.94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47131.25</v>
      </c>
      <c r="G236" s="18">
        <v>5548.69</v>
      </c>
      <c r="H236" s="18">
        <v>19155.18</v>
      </c>
      <c r="I236" s="18">
        <v>17841.22</v>
      </c>
      <c r="J236" s="18"/>
      <c r="K236" s="18">
        <v>7525</v>
      </c>
      <c r="L236" s="19">
        <f>SUM(F236:K236)</f>
        <v>97201.34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122296.32000000001</v>
      </c>
      <c r="G238" s="18">
        <v>74251.27</v>
      </c>
      <c r="H238" s="18">
        <v>65037.18</v>
      </c>
      <c r="I238" s="18">
        <v>6469.05</v>
      </c>
      <c r="J238" s="18"/>
      <c r="K238" s="18">
        <v>937.11</v>
      </c>
      <c r="L238" s="19">
        <f t="shared" ref="L238:L244" si="4">SUM(F238:K238)</f>
        <v>268990.93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62331.28</v>
      </c>
      <c r="G239" s="18">
        <v>36797.160000000003</v>
      </c>
      <c r="H239" s="18">
        <v>28639.02</v>
      </c>
      <c r="I239" s="18">
        <v>15060.06</v>
      </c>
      <c r="J239" s="18">
        <v>34410.43</v>
      </c>
      <c r="K239" s="18"/>
      <c r="L239" s="19">
        <f t="shared" si="4"/>
        <v>177237.95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60760.74</v>
      </c>
      <c r="G240" s="18">
        <v>30497.14</v>
      </c>
      <c r="H240" s="18">
        <v>15881.55</v>
      </c>
      <c r="I240" s="18">
        <v>1714.56</v>
      </c>
      <c r="J240" s="18"/>
      <c r="K240" s="18">
        <v>1740.69</v>
      </c>
      <c r="L240" s="19">
        <f t="shared" si="4"/>
        <v>110594.68000000001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131224.69</v>
      </c>
      <c r="G241" s="18">
        <v>56164.11</v>
      </c>
      <c r="H241" s="18">
        <v>13146.59</v>
      </c>
      <c r="I241" s="18">
        <v>3517.41</v>
      </c>
      <c r="J241" s="18"/>
      <c r="K241" s="18">
        <v>138.41</v>
      </c>
      <c r="L241" s="19">
        <f t="shared" si="4"/>
        <v>204191.21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86454.29</v>
      </c>
      <c r="G243" s="18">
        <v>67381.88</v>
      </c>
      <c r="H243" s="18">
        <v>105736.88</v>
      </c>
      <c r="I243" s="18">
        <v>90219.68</v>
      </c>
      <c r="J243" s="18">
        <v>3442.85</v>
      </c>
      <c r="K243" s="18"/>
      <c r="L243" s="19">
        <f t="shared" si="4"/>
        <v>353235.57999999996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255609.25</v>
      </c>
      <c r="I244" s="18"/>
      <c r="J244" s="18"/>
      <c r="K244" s="18"/>
      <c r="L244" s="19">
        <f t="shared" si="4"/>
        <v>255609.25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1480359.83</v>
      </c>
      <c r="G247" s="41">
        <f t="shared" si="5"/>
        <v>805855.14</v>
      </c>
      <c r="H247" s="41">
        <f t="shared" si="5"/>
        <v>1217451.6500000001</v>
      </c>
      <c r="I247" s="41">
        <f t="shared" si="5"/>
        <v>159051.72999999998</v>
      </c>
      <c r="J247" s="41">
        <f t="shared" si="5"/>
        <v>37853.279999999999</v>
      </c>
      <c r="K247" s="41">
        <f t="shared" si="5"/>
        <v>16510.350000000002</v>
      </c>
      <c r="L247" s="41">
        <f t="shared" si="5"/>
        <v>3717081.98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7000</v>
      </c>
      <c r="G250" s="18"/>
      <c r="H250" s="18"/>
      <c r="I250" s="18"/>
      <c r="J250" s="18"/>
      <c r="K250" s="18"/>
      <c r="L250" s="19">
        <f t="shared" ref="L250:L255" si="6">SUM(F250:K250)</f>
        <v>7000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7000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7000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4411322.3699999992</v>
      </c>
      <c r="G257" s="41">
        <f t="shared" si="8"/>
        <v>2382840.3500000006</v>
      </c>
      <c r="H257" s="41">
        <f t="shared" si="8"/>
        <v>2317182.2400000002</v>
      </c>
      <c r="I257" s="41">
        <f t="shared" si="8"/>
        <v>374244.75</v>
      </c>
      <c r="J257" s="41">
        <f t="shared" si="8"/>
        <v>94602.89</v>
      </c>
      <c r="K257" s="41">
        <f t="shared" si="8"/>
        <v>32549.910000000003</v>
      </c>
      <c r="L257" s="41">
        <f t="shared" si="8"/>
        <v>9612742.5099999998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265000</v>
      </c>
      <c r="L260" s="19">
        <f>SUM(F260:K260)</f>
        <v>265000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45381.26</v>
      </c>
      <c r="L261" s="19">
        <f>SUM(F261:K261)</f>
        <v>45381.26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13759.82</v>
      </c>
      <c r="L263" s="19">
        <f>SUM(F263:K263)</f>
        <v>13759.82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324141.08</v>
      </c>
      <c r="L270" s="41">
        <f t="shared" si="9"/>
        <v>324141.08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4411322.3699999992</v>
      </c>
      <c r="G271" s="42">
        <f t="shared" si="11"/>
        <v>2382840.3500000006</v>
      </c>
      <c r="H271" s="42">
        <f t="shared" si="11"/>
        <v>2317182.2400000002</v>
      </c>
      <c r="I271" s="42">
        <f t="shared" si="11"/>
        <v>374244.75</v>
      </c>
      <c r="J271" s="42">
        <f t="shared" si="11"/>
        <v>94602.89</v>
      </c>
      <c r="K271" s="42">
        <f t="shared" si="11"/>
        <v>356690.99</v>
      </c>
      <c r="L271" s="42">
        <f t="shared" si="11"/>
        <v>9936883.5899999999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80939.47</v>
      </c>
      <c r="G276" s="18">
        <v>70842.03</v>
      </c>
      <c r="H276" s="18">
        <v>4650</v>
      </c>
      <c r="I276" s="18">
        <v>57324.73</v>
      </c>
      <c r="J276" s="18"/>
      <c r="K276" s="18">
        <v>536.24</v>
      </c>
      <c r="L276" s="19">
        <f>SUM(F276:K276)</f>
        <v>214292.47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4129.83</v>
      </c>
      <c r="G277" s="18">
        <v>598.59</v>
      </c>
      <c r="H277" s="18">
        <v>96.86</v>
      </c>
      <c r="I277" s="18">
        <v>2816.95</v>
      </c>
      <c r="J277" s="18">
        <v>529.09</v>
      </c>
      <c r="K277" s="18"/>
      <c r="L277" s="19">
        <f>SUM(F277:K277)</f>
        <v>8171.32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3253</v>
      </c>
      <c r="G279" s="18">
        <v>947.19</v>
      </c>
      <c r="H279" s="18"/>
      <c r="I279" s="18"/>
      <c r="J279" s="18"/>
      <c r="K279" s="18">
        <v>2322</v>
      </c>
      <c r="L279" s="19">
        <f>SUM(F279:K279)</f>
        <v>6522.1900000000005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26407.33</v>
      </c>
      <c r="G281" s="18">
        <v>19422.330000000002</v>
      </c>
      <c r="H281" s="18">
        <v>840</v>
      </c>
      <c r="I281" s="18">
        <v>2903.94</v>
      </c>
      <c r="J281" s="18"/>
      <c r="K281" s="18"/>
      <c r="L281" s="19">
        <f t="shared" ref="L281:L287" si="12">SUM(F281:K281)</f>
        <v>49573.600000000006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12696.32</v>
      </c>
      <c r="G282" s="18">
        <v>6362.02</v>
      </c>
      <c r="H282" s="18">
        <v>14624.85</v>
      </c>
      <c r="I282" s="18">
        <v>19563.3</v>
      </c>
      <c r="J282" s="18">
        <v>28540.51</v>
      </c>
      <c r="K282" s="18"/>
      <c r="L282" s="19">
        <f t="shared" si="12"/>
        <v>81787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200</v>
      </c>
      <c r="G283" s="18">
        <v>49.07</v>
      </c>
      <c r="H283" s="18"/>
      <c r="I283" s="18"/>
      <c r="J283" s="18"/>
      <c r="K283" s="18"/>
      <c r="L283" s="19">
        <f t="shared" si="12"/>
        <v>249.07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39000</v>
      </c>
      <c r="G284" s="18">
        <v>9798.4</v>
      </c>
      <c r="H284" s="18"/>
      <c r="I284" s="18"/>
      <c r="J284" s="18"/>
      <c r="K284" s="18"/>
      <c r="L284" s="19">
        <f t="shared" si="12"/>
        <v>48798.400000000001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>
        <v>6797.16</v>
      </c>
      <c r="K286" s="18"/>
      <c r="L286" s="19">
        <f t="shared" si="12"/>
        <v>6797.16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1204</v>
      </c>
      <c r="I287" s="18"/>
      <c r="J287" s="18"/>
      <c r="K287" s="18"/>
      <c r="L287" s="19">
        <f t="shared" si="12"/>
        <v>1204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166625.95000000001</v>
      </c>
      <c r="G290" s="42">
        <f t="shared" si="13"/>
        <v>108019.63</v>
      </c>
      <c r="H290" s="42">
        <f t="shared" si="13"/>
        <v>21415.71</v>
      </c>
      <c r="I290" s="42">
        <f t="shared" si="13"/>
        <v>82608.92</v>
      </c>
      <c r="J290" s="42">
        <f t="shared" si="13"/>
        <v>35866.759999999995</v>
      </c>
      <c r="K290" s="42">
        <f t="shared" si="13"/>
        <v>2858.24</v>
      </c>
      <c r="L290" s="41">
        <f t="shared" si="13"/>
        <v>417395.21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362.29</v>
      </c>
      <c r="G296" s="18">
        <v>57.68</v>
      </c>
      <c r="H296" s="18">
        <v>1052.6600000000001</v>
      </c>
      <c r="I296" s="18">
        <v>809.81</v>
      </c>
      <c r="J296" s="18"/>
      <c r="K296" s="18"/>
      <c r="L296" s="19">
        <f>SUM(F296:K296)</f>
        <v>2282.44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8045.97</v>
      </c>
      <c r="G300" s="18">
        <v>4958.42</v>
      </c>
      <c r="H300" s="18">
        <v>120</v>
      </c>
      <c r="I300" s="18">
        <v>438.97</v>
      </c>
      <c r="J300" s="18"/>
      <c r="K300" s="18"/>
      <c r="L300" s="19">
        <f t="shared" ref="L300:L306" si="14">SUM(F300:K300)</f>
        <v>13563.359999999999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3021.83</v>
      </c>
      <c r="G301" s="18">
        <v>1864.8</v>
      </c>
      <c r="H301" s="18">
        <v>2458.71</v>
      </c>
      <c r="I301" s="18">
        <v>408.22</v>
      </c>
      <c r="J301" s="18"/>
      <c r="K301" s="18"/>
      <c r="L301" s="19">
        <f t="shared" si="14"/>
        <v>7753.56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11430.09</v>
      </c>
      <c r="G309" s="42">
        <f t="shared" si="15"/>
        <v>6880.9000000000005</v>
      </c>
      <c r="H309" s="42">
        <f t="shared" si="15"/>
        <v>3631.37</v>
      </c>
      <c r="I309" s="42">
        <f t="shared" si="15"/>
        <v>1657</v>
      </c>
      <c r="J309" s="42">
        <f t="shared" si="15"/>
        <v>0</v>
      </c>
      <c r="K309" s="42">
        <f t="shared" si="15"/>
        <v>0</v>
      </c>
      <c r="L309" s="41">
        <f t="shared" si="15"/>
        <v>23599.360000000001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67567.73</v>
      </c>
      <c r="G314" s="18">
        <v>35541.019999999997</v>
      </c>
      <c r="H314" s="18">
        <v>2375.2199999999998</v>
      </c>
      <c r="I314" s="18">
        <v>1711.82</v>
      </c>
      <c r="J314" s="18"/>
      <c r="K314" s="18"/>
      <c r="L314" s="19">
        <f>SUM(F314:K314)</f>
        <v>107195.79000000001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22749.919999999998</v>
      </c>
      <c r="G315" s="18">
        <v>4494.71</v>
      </c>
      <c r="H315" s="18">
        <v>2070.0700000000002</v>
      </c>
      <c r="I315" s="18">
        <v>5253.91</v>
      </c>
      <c r="J315" s="18">
        <v>628.84</v>
      </c>
      <c r="K315" s="18"/>
      <c r="L315" s="19">
        <f>SUM(F315:K315)</f>
        <v>35197.449999999997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11350</v>
      </c>
      <c r="G317" s="18">
        <v>2606.06</v>
      </c>
      <c r="H317" s="18">
        <v>1444.3</v>
      </c>
      <c r="I317" s="18">
        <v>1181.5899999999999</v>
      </c>
      <c r="J317" s="18"/>
      <c r="K317" s="18"/>
      <c r="L317" s="19">
        <f>SUM(F317:K317)</f>
        <v>16581.949999999997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20578.12</v>
      </c>
      <c r="G319" s="18">
        <v>15747.34</v>
      </c>
      <c r="H319" s="18">
        <v>1542.5</v>
      </c>
      <c r="I319" s="18">
        <v>792.88</v>
      </c>
      <c r="J319" s="18"/>
      <c r="K319" s="18"/>
      <c r="L319" s="19">
        <f t="shared" ref="L319:L325" si="16">SUM(F319:K319)</f>
        <v>38660.839999999997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6574.48</v>
      </c>
      <c r="G320" s="18">
        <v>3702.51</v>
      </c>
      <c r="H320" s="18">
        <v>50569.8</v>
      </c>
      <c r="I320" s="18">
        <v>10465.43</v>
      </c>
      <c r="J320" s="18"/>
      <c r="K320" s="18"/>
      <c r="L320" s="19">
        <f t="shared" si="16"/>
        <v>71312.22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43217.06</v>
      </c>
      <c r="G321" s="18">
        <v>23561.26</v>
      </c>
      <c r="H321" s="18"/>
      <c r="I321" s="18"/>
      <c r="J321" s="18"/>
      <c r="K321" s="18"/>
      <c r="L321" s="19">
        <f t="shared" si="16"/>
        <v>66778.319999999992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63300.91</v>
      </c>
      <c r="G322" s="18">
        <v>5112.05</v>
      </c>
      <c r="H322" s="18"/>
      <c r="I322" s="18"/>
      <c r="J322" s="18"/>
      <c r="K322" s="18"/>
      <c r="L322" s="19">
        <f t="shared" si="16"/>
        <v>68412.960000000006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1880.97</v>
      </c>
      <c r="I325" s="18"/>
      <c r="J325" s="18"/>
      <c r="K325" s="18"/>
      <c r="L325" s="19">
        <f t="shared" si="16"/>
        <v>1880.97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235338.22</v>
      </c>
      <c r="G328" s="42">
        <f t="shared" si="17"/>
        <v>90764.95</v>
      </c>
      <c r="H328" s="42">
        <f t="shared" si="17"/>
        <v>59882.86</v>
      </c>
      <c r="I328" s="42">
        <f t="shared" si="17"/>
        <v>19405.629999999997</v>
      </c>
      <c r="J328" s="42">
        <f t="shared" si="17"/>
        <v>628.84</v>
      </c>
      <c r="K328" s="42">
        <f t="shared" si="17"/>
        <v>0</v>
      </c>
      <c r="L328" s="41">
        <f t="shared" si="17"/>
        <v>406020.5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413394.26</v>
      </c>
      <c r="G338" s="41">
        <f t="shared" si="20"/>
        <v>205665.47999999998</v>
      </c>
      <c r="H338" s="41">
        <f t="shared" si="20"/>
        <v>84929.94</v>
      </c>
      <c r="I338" s="41">
        <f t="shared" si="20"/>
        <v>103671.54999999999</v>
      </c>
      <c r="J338" s="41">
        <f t="shared" si="20"/>
        <v>36495.599999999991</v>
      </c>
      <c r="K338" s="41">
        <f t="shared" si="20"/>
        <v>2858.24</v>
      </c>
      <c r="L338" s="41">
        <f t="shared" si="20"/>
        <v>847015.07000000007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2681</v>
      </c>
      <c r="L344" s="19">
        <f t="shared" ref="L344:L350" si="21">SUM(F344:K344)</f>
        <v>2681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2681</v>
      </c>
      <c r="L351" s="41">
        <f>SUM(L341:L350)</f>
        <v>2681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413394.26</v>
      </c>
      <c r="G352" s="41">
        <f>G338</f>
        <v>205665.47999999998</v>
      </c>
      <c r="H352" s="41">
        <f>H338</f>
        <v>84929.94</v>
      </c>
      <c r="I352" s="41">
        <f>I338</f>
        <v>103671.54999999999</v>
      </c>
      <c r="J352" s="41">
        <f>J338</f>
        <v>36495.599999999991</v>
      </c>
      <c r="K352" s="47">
        <f>K338+K351</f>
        <v>5539.24</v>
      </c>
      <c r="L352" s="41">
        <f>L338+L351</f>
        <v>849696.07000000007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125281.35</v>
      </c>
      <c r="I358" s="18">
        <v>10122.41</v>
      </c>
      <c r="J358" s="18"/>
      <c r="K358" s="18"/>
      <c r="L358" s="13">
        <f>SUM(F358:K358)</f>
        <v>135403.76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50112.54</v>
      </c>
      <c r="I359" s="18">
        <v>3305.27</v>
      </c>
      <c r="J359" s="18"/>
      <c r="K359" s="18"/>
      <c r="L359" s="19">
        <f>SUM(F359:K359)</f>
        <v>53417.81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103009.11</v>
      </c>
      <c r="I360" s="18">
        <v>7230.3</v>
      </c>
      <c r="J360" s="18"/>
      <c r="K360" s="18"/>
      <c r="L360" s="19">
        <f>SUM(F360:K360)</f>
        <v>110239.41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278403</v>
      </c>
      <c r="I362" s="47">
        <f t="shared" si="22"/>
        <v>20657.98</v>
      </c>
      <c r="J362" s="47">
        <f t="shared" si="22"/>
        <v>0</v>
      </c>
      <c r="K362" s="47">
        <f t="shared" si="22"/>
        <v>0</v>
      </c>
      <c r="L362" s="47">
        <f t="shared" si="22"/>
        <v>299060.98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11675.97</v>
      </c>
      <c r="G367" s="18">
        <v>2662.94</v>
      </c>
      <c r="H367" s="18">
        <v>6145.25</v>
      </c>
      <c r="I367" s="56">
        <f>SUM(F367:H367)</f>
        <v>20484.16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99.08</v>
      </c>
      <c r="G368" s="63">
        <v>22.6</v>
      </c>
      <c r="H368" s="63">
        <v>52.14</v>
      </c>
      <c r="I368" s="56">
        <f>SUM(F368:H368)</f>
        <v>173.82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11775.05</v>
      </c>
      <c r="G369" s="47">
        <f>SUM(G367:G368)</f>
        <v>2685.54</v>
      </c>
      <c r="H369" s="47">
        <f>SUM(H367:H368)</f>
        <v>6197.39</v>
      </c>
      <c r="I369" s="47">
        <f>SUM(I367:I368)</f>
        <v>20657.98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>
        <v>50.19</v>
      </c>
      <c r="I391" s="18"/>
      <c r="J391" s="24" t="s">
        <v>286</v>
      </c>
      <c r="K391" s="24" t="s">
        <v>286</v>
      </c>
      <c r="L391" s="56">
        <f t="shared" si="25"/>
        <v>50.19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50.19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50.19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595.25</v>
      </c>
      <c r="I396" s="18"/>
      <c r="J396" s="24" t="s">
        <v>286</v>
      </c>
      <c r="K396" s="24" t="s">
        <v>286</v>
      </c>
      <c r="L396" s="56">
        <f t="shared" si="26"/>
        <v>595.25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677.28</v>
      </c>
      <c r="I397" s="18"/>
      <c r="J397" s="24" t="s">
        <v>286</v>
      </c>
      <c r="K397" s="24" t="s">
        <v>286</v>
      </c>
      <c r="L397" s="56">
        <f t="shared" si="26"/>
        <v>677.28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>
        <v>8054.02</v>
      </c>
      <c r="J400" s="24" t="s">
        <v>286</v>
      </c>
      <c r="K400" s="24" t="s">
        <v>286</v>
      </c>
      <c r="L400" s="56">
        <f t="shared" si="26"/>
        <v>8054.02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1272.53</v>
      </c>
      <c r="I401" s="47">
        <f>SUM(I395:I400)</f>
        <v>8054.02</v>
      </c>
      <c r="J401" s="45" t="s">
        <v>286</v>
      </c>
      <c r="K401" s="45" t="s">
        <v>286</v>
      </c>
      <c r="L401" s="47">
        <f>SUM(L395:L400)</f>
        <v>9326.5500000000011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>
        <v>4283.96</v>
      </c>
      <c r="I403" s="18">
        <v>5597.75</v>
      </c>
      <c r="J403" s="24" t="s">
        <v>286</v>
      </c>
      <c r="K403" s="24" t="s">
        <v>286</v>
      </c>
      <c r="L403" s="56">
        <f>SUM(F403:K403)</f>
        <v>9881.7099999999991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4283.96</v>
      </c>
      <c r="I407" s="47">
        <f>SUM(I403:I406)</f>
        <v>5597.75</v>
      </c>
      <c r="J407" s="49" t="s">
        <v>286</v>
      </c>
      <c r="K407" s="49" t="s">
        <v>286</v>
      </c>
      <c r="L407" s="47">
        <f>SUM(L403:L406)</f>
        <v>9881.7099999999991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5606.68</v>
      </c>
      <c r="I408" s="47">
        <f>I393+I401+I407</f>
        <v>13651.77</v>
      </c>
      <c r="J408" s="24" t="s">
        <v>286</v>
      </c>
      <c r="K408" s="24" t="s">
        <v>286</v>
      </c>
      <c r="L408" s="47">
        <f>L393+L401+L407</f>
        <v>19258.45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v>9200</v>
      </c>
      <c r="I426" s="18"/>
      <c r="J426" s="18"/>
      <c r="K426" s="18"/>
      <c r="L426" s="56">
        <f t="shared" si="29"/>
        <v>9200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9200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9200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>
        <v>5276.13</v>
      </c>
      <c r="J429" s="18"/>
      <c r="K429" s="18"/>
      <c r="L429" s="56">
        <f>SUM(F429:K429)</f>
        <v>5276.13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5276.13</v>
      </c>
      <c r="J433" s="47">
        <f t="shared" si="31"/>
        <v>0</v>
      </c>
      <c r="K433" s="47">
        <f t="shared" si="31"/>
        <v>0</v>
      </c>
      <c r="L433" s="47">
        <f t="shared" si="31"/>
        <v>5276.13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9200</v>
      </c>
      <c r="I434" s="47">
        <f t="shared" si="32"/>
        <v>5276.13</v>
      </c>
      <c r="J434" s="47">
        <f t="shared" si="32"/>
        <v>0</v>
      </c>
      <c r="K434" s="47">
        <f t="shared" si="32"/>
        <v>0</v>
      </c>
      <c r="L434" s="47">
        <f t="shared" si="32"/>
        <v>14476.130000000001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>
        <v>208438.17</v>
      </c>
      <c r="I440" s="56">
        <f t="shared" si="33"/>
        <v>208438.17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16760.55</v>
      </c>
      <c r="G442" s="18">
        <v>445321.84</v>
      </c>
      <c r="H442" s="18"/>
      <c r="I442" s="56">
        <f t="shared" si="33"/>
        <v>462082.39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16760.55</v>
      </c>
      <c r="G446" s="13">
        <f>SUM(G439:G445)</f>
        <v>445321.84</v>
      </c>
      <c r="H446" s="13">
        <f>SUM(H439:H445)</f>
        <v>208438.17</v>
      </c>
      <c r="I446" s="13">
        <f>SUM(I439:I445)</f>
        <v>670520.56000000006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>
        <v>208438.17</v>
      </c>
      <c r="I457" s="56">
        <f t="shared" si="34"/>
        <v>208438.17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16760.55</v>
      </c>
      <c r="G459" s="18">
        <v>445321.84</v>
      </c>
      <c r="H459" s="18"/>
      <c r="I459" s="56">
        <f t="shared" si="34"/>
        <v>462082.39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16760.55</v>
      </c>
      <c r="G460" s="83">
        <f>SUM(G454:G459)</f>
        <v>445321.84</v>
      </c>
      <c r="H460" s="83">
        <f>SUM(H454:H459)</f>
        <v>208438.17</v>
      </c>
      <c r="I460" s="83">
        <f>SUM(I454:I459)</f>
        <v>670520.56000000006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16760.55</v>
      </c>
      <c r="G461" s="42">
        <f>G452+G460</f>
        <v>445321.84</v>
      </c>
      <c r="H461" s="42">
        <f>H452+H460</f>
        <v>208438.17</v>
      </c>
      <c r="I461" s="42">
        <f>I452+I460</f>
        <v>670520.56000000006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78928.94</v>
      </c>
      <c r="G465" s="18">
        <v>16822.169999999998</v>
      </c>
      <c r="H465" s="18">
        <v>0</v>
      </c>
      <c r="I465" s="18"/>
      <c r="J465" s="18">
        <v>665738.23999999999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9960391.8599999994</v>
      </c>
      <c r="G468" s="18">
        <v>297956.55</v>
      </c>
      <c r="H468" s="18">
        <v>849696.07000000007</v>
      </c>
      <c r="I468" s="18"/>
      <c r="J468" s="18">
        <v>19258.45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9960391.8599999994</v>
      </c>
      <c r="G470" s="53">
        <f>SUM(G468:G469)</f>
        <v>297956.55</v>
      </c>
      <c r="H470" s="53">
        <f>SUM(H468:H469)</f>
        <v>849696.07000000007</v>
      </c>
      <c r="I470" s="53">
        <f>SUM(I468:I469)</f>
        <v>0</v>
      </c>
      <c r="J470" s="53">
        <f>SUM(J468:J469)</f>
        <v>19258.45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9936883.5899999999</v>
      </c>
      <c r="G472" s="18">
        <v>299060.98</v>
      </c>
      <c r="H472" s="18">
        <v>849696.07000000007</v>
      </c>
      <c r="I472" s="18"/>
      <c r="J472" s="18">
        <v>14476.130000000001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9936883.5899999999</v>
      </c>
      <c r="G474" s="53">
        <f>SUM(G472:G473)</f>
        <v>299060.98</v>
      </c>
      <c r="H474" s="53">
        <f>SUM(H472:H473)</f>
        <v>849696.07000000007</v>
      </c>
      <c r="I474" s="53">
        <f>SUM(I472:I473)</f>
        <v>0</v>
      </c>
      <c r="J474" s="53">
        <f>SUM(J472:J473)</f>
        <v>14476.130000000001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102437.20999999903</v>
      </c>
      <c r="G476" s="53">
        <f>(G465+G470)- G474</f>
        <v>15717.739999999991</v>
      </c>
      <c r="H476" s="53">
        <f>(H465+H470)- H474</f>
        <v>0</v>
      </c>
      <c r="I476" s="53">
        <f>(I465+I470)- I474</f>
        <v>0</v>
      </c>
      <c r="J476" s="53">
        <f>(J465+J470)- J474</f>
        <v>670520.55999999994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5300000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5.58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795000</v>
      </c>
      <c r="G495" s="18"/>
      <c r="H495" s="18"/>
      <c r="I495" s="18"/>
      <c r="J495" s="18"/>
      <c r="K495" s="53">
        <f>SUM(F495:J495)</f>
        <v>795000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265000</v>
      </c>
      <c r="G497" s="18"/>
      <c r="H497" s="18"/>
      <c r="I497" s="18"/>
      <c r="J497" s="18"/>
      <c r="K497" s="53">
        <f t="shared" si="35"/>
        <v>265000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530000</v>
      </c>
      <c r="G498" s="204"/>
      <c r="H498" s="204"/>
      <c r="I498" s="204"/>
      <c r="J498" s="204"/>
      <c r="K498" s="205">
        <f t="shared" si="35"/>
        <v>530000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45712.5</v>
      </c>
      <c r="G499" s="18"/>
      <c r="H499" s="18"/>
      <c r="I499" s="18"/>
      <c r="J499" s="18"/>
      <c r="K499" s="53">
        <f t="shared" si="35"/>
        <v>45712.5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575712.5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575712.5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265000</v>
      </c>
      <c r="G501" s="204"/>
      <c r="H501" s="204"/>
      <c r="I501" s="204"/>
      <c r="J501" s="204"/>
      <c r="K501" s="205">
        <f t="shared" si="35"/>
        <v>265000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30475</v>
      </c>
      <c r="G502" s="18"/>
      <c r="H502" s="18"/>
      <c r="I502" s="18"/>
      <c r="J502" s="18"/>
      <c r="K502" s="53">
        <f t="shared" si="35"/>
        <v>30475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295475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295475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514158.97</v>
      </c>
      <c r="G521" s="18">
        <v>241878.82</v>
      </c>
      <c r="H521" s="18">
        <v>221330.84</v>
      </c>
      <c r="I521" s="18">
        <v>3456.18</v>
      </c>
      <c r="J521" s="18">
        <v>529.09</v>
      </c>
      <c r="K521" s="18">
        <v>1014.3</v>
      </c>
      <c r="L521" s="88">
        <f>SUM(F521:K521)</f>
        <v>982368.20000000007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172462.95</v>
      </c>
      <c r="G522" s="18">
        <v>73175.210000000006</v>
      </c>
      <c r="H522" s="18">
        <v>15908.46</v>
      </c>
      <c r="I522" s="18">
        <v>464.25</v>
      </c>
      <c r="J522" s="18"/>
      <c r="K522" s="18">
        <v>248.63</v>
      </c>
      <c r="L522" s="88">
        <f>SUM(F522:K522)</f>
        <v>262259.5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277063.89</v>
      </c>
      <c r="G523" s="18">
        <v>135714.45000000001</v>
      </c>
      <c r="H523" s="18">
        <v>646816.30000000005</v>
      </c>
      <c r="I523" s="18">
        <v>2854.09</v>
      </c>
      <c r="J523" s="18"/>
      <c r="K523" s="18">
        <v>415.87</v>
      </c>
      <c r="L523" s="88">
        <f>SUM(F523:K523)</f>
        <v>1062864.6000000003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963685.80999999994</v>
      </c>
      <c r="G524" s="108">
        <f t="shared" ref="G524:L524" si="36">SUM(G521:G523)</f>
        <v>450768.48000000004</v>
      </c>
      <c r="H524" s="108">
        <f t="shared" si="36"/>
        <v>884055.60000000009</v>
      </c>
      <c r="I524" s="108">
        <f t="shared" si="36"/>
        <v>6774.52</v>
      </c>
      <c r="J524" s="108">
        <f t="shared" si="36"/>
        <v>529.09</v>
      </c>
      <c r="K524" s="108">
        <f t="shared" si="36"/>
        <v>1678.7999999999997</v>
      </c>
      <c r="L524" s="89">
        <f t="shared" si="36"/>
        <v>2307492.3000000007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48004.01</v>
      </c>
      <c r="G526" s="18">
        <v>26034.27</v>
      </c>
      <c r="H526" s="18">
        <v>232728.04</v>
      </c>
      <c r="I526" s="18">
        <v>3724.65</v>
      </c>
      <c r="J526" s="18"/>
      <c r="K526" s="18"/>
      <c r="L526" s="88">
        <f>SUM(F526:K526)</f>
        <v>310490.97000000003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4316.43</v>
      </c>
      <c r="G527" s="18">
        <v>3158.35</v>
      </c>
      <c r="H527" s="18">
        <v>17559.2</v>
      </c>
      <c r="I527" s="18">
        <v>460.41</v>
      </c>
      <c r="J527" s="18"/>
      <c r="K527" s="18"/>
      <c r="L527" s="88">
        <f>SUM(F527:K527)</f>
        <v>25494.390000000003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8707.02</v>
      </c>
      <c r="G528" s="18">
        <v>6316.69</v>
      </c>
      <c r="H528" s="18">
        <v>33949.980000000003</v>
      </c>
      <c r="I528" s="18">
        <v>897.43</v>
      </c>
      <c r="J528" s="18"/>
      <c r="K528" s="18"/>
      <c r="L528" s="88">
        <f>SUM(F528:K528)</f>
        <v>49871.12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61027.460000000006</v>
      </c>
      <c r="G529" s="89">
        <f t="shared" ref="G529:L529" si="37">SUM(G526:G528)</f>
        <v>35509.31</v>
      </c>
      <c r="H529" s="89">
        <f t="shared" si="37"/>
        <v>284237.22000000003</v>
      </c>
      <c r="I529" s="89">
        <f t="shared" si="37"/>
        <v>5082.4900000000007</v>
      </c>
      <c r="J529" s="89">
        <f t="shared" si="37"/>
        <v>0</v>
      </c>
      <c r="K529" s="89">
        <f t="shared" si="37"/>
        <v>0</v>
      </c>
      <c r="L529" s="89">
        <f t="shared" si="37"/>
        <v>385856.48000000004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48852.5</v>
      </c>
      <c r="G531" s="18">
        <v>11571.51</v>
      </c>
      <c r="H531" s="18"/>
      <c r="I531" s="18"/>
      <c r="J531" s="18"/>
      <c r="K531" s="18"/>
      <c r="L531" s="88">
        <f>SUM(F531:K531)</f>
        <v>60424.01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17098.38</v>
      </c>
      <c r="G532" s="18">
        <v>4050.03</v>
      </c>
      <c r="H532" s="18"/>
      <c r="I532" s="18"/>
      <c r="J532" s="18"/>
      <c r="K532" s="18"/>
      <c r="L532" s="88">
        <f>SUM(F532:K532)</f>
        <v>21148.41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31754.13</v>
      </c>
      <c r="G533" s="18">
        <v>7521.48</v>
      </c>
      <c r="H533" s="18"/>
      <c r="I533" s="18"/>
      <c r="J533" s="18"/>
      <c r="K533" s="18"/>
      <c r="L533" s="88">
        <f>SUM(F533:K533)</f>
        <v>39275.61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97705.010000000009</v>
      </c>
      <c r="G534" s="89">
        <f t="shared" ref="G534:L534" si="38">SUM(G531:G533)</f>
        <v>23143.02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120848.03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4942</v>
      </c>
      <c r="I536" s="18"/>
      <c r="J536" s="18"/>
      <c r="K536" s="18"/>
      <c r="L536" s="88">
        <f>SUM(F536:K536)</f>
        <v>4942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2990</v>
      </c>
      <c r="I537" s="18"/>
      <c r="J537" s="18"/>
      <c r="K537" s="18"/>
      <c r="L537" s="88">
        <f>SUM(F537:K537)</f>
        <v>2990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893</v>
      </c>
      <c r="I538" s="18"/>
      <c r="J538" s="18"/>
      <c r="K538" s="18"/>
      <c r="L538" s="88">
        <f>SUM(F538:K538)</f>
        <v>893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8825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8825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175469.12</v>
      </c>
      <c r="I541" s="18"/>
      <c r="J541" s="18"/>
      <c r="K541" s="18"/>
      <c r="L541" s="88">
        <f>SUM(F541:K541)</f>
        <v>175469.12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4832.1000000000004</v>
      </c>
      <c r="I542" s="18"/>
      <c r="J542" s="18"/>
      <c r="K542" s="18"/>
      <c r="L542" s="88">
        <f>SUM(F542:K542)</f>
        <v>4832.1000000000004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129640.11</v>
      </c>
      <c r="I543" s="18"/>
      <c r="J543" s="18"/>
      <c r="K543" s="18"/>
      <c r="L543" s="88">
        <f>SUM(F543:K543)</f>
        <v>129640.11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309941.33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309941.33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1122418.2799999998</v>
      </c>
      <c r="G545" s="89">
        <f t="shared" ref="G545:L545" si="41">G524+G529+G534+G539+G544</f>
        <v>509420.81000000006</v>
      </c>
      <c r="H545" s="89">
        <f t="shared" si="41"/>
        <v>1487059.1500000001</v>
      </c>
      <c r="I545" s="89">
        <f t="shared" si="41"/>
        <v>11857.010000000002</v>
      </c>
      <c r="J545" s="89">
        <f t="shared" si="41"/>
        <v>529.09</v>
      </c>
      <c r="K545" s="89">
        <f t="shared" si="41"/>
        <v>1678.7999999999997</v>
      </c>
      <c r="L545" s="89">
        <f t="shared" si="41"/>
        <v>3132963.1400000006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982368.20000000007</v>
      </c>
      <c r="G549" s="87">
        <f>L526</f>
        <v>310490.97000000003</v>
      </c>
      <c r="H549" s="87">
        <f>L531</f>
        <v>60424.01</v>
      </c>
      <c r="I549" s="87">
        <f>L536</f>
        <v>4942</v>
      </c>
      <c r="J549" s="87">
        <f>L541</f>
        <v>175469.12</v>
      </c>
      <c r="K549" s="87">
        <f>SUM(F549:J549)</f>
        <v>1533694.3000000003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262259.5</v>
      </c>
      <c r="G550" s="87">
        <f>L527</f>
        <v>25494.390000000003</v>
      </c>
      <c r="H550" s="87">
        <f>L532</f>
        <v>21148.41</v>
      </c>
      <c r="I550" s="87">
        <f>L537</f>
        <v>2990</v>
      </c>
      <c r="J550" s="87">
        <f>L542</f>
        <v>4832.1000000000004</v>
      </c>
      <c r="K550" s="87">
        <f>SUM(F550:J550)</f>
        <v>316724.39999999997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1062864.6000000003</v>
      </c>
      <c r="G551" s="87">
        <f>L528</f>
        <v>49871.12</v>
      </c>
      <c r="H551" s="87">
        <f>L533</f>
        <v>39275.61</v>
      </c>
      <c r="I551" s="87">
        <f>L538</f>
        <v>893</v>
      </c>
      <c r="J551" s="87">
        <f>L543</f>
        <v>129640.11</v>
      </c>
      <c r="K551" s="87">
        <f>SUM(F551:J551)</f>
        <v>1282544.4400000006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2307492.3000000007</v>
      </c>
      <c r="G552" s="89">
        <f t="shared" si="42"/>
        <v>385856.48000000004</v>
      </c>
      <c r="H552" s="89">
        <f t="shared" si="42"/>
        <v>120848.03</v>
      </c>
      <c r="I552" s="89">
        <f t="shared" si="42"/>
        <v>8825</v>
      </c>
      <c r="J552" s="89">
        <f t="shared" si="42"/>
        <v>309941.33</v>
      </c>
      <c r="K552" s="89">
        <f t="shared" si="42"/>
        <v>3132963.1400000006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21406.42</v>
      </c>
      <c r="G562" s="18">
        <v>1763.71</v>
      </c>
      <c r="H562" s="18"/>
      <c r="I562" s="18"/>
      <c r="J562" s="18"/>
      <c r="K562" s="18"/>
      <c r="L562" s="88">
        <f>SUM(F562:K562)</f>
        <v>23170.129999999997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21406.42</v>
      </c>
      <c r="G565" s="89">
        <f t="shared" si="44"/>
        <v>1763.71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23170.129999999997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21406.42</v>
      </c>
      <c r="G571" s="89">
        <f t="shared" ref="G571:L571" si="46">G560+G565+G570</f>
        <v>1763.71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23170.129999999997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13462</v>
      </c>
      <c r="I575" s="87">
        <f>SUM(F575:H575)</f>
        <v>13462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>
        <v>15399</v>
      </c>
      <c r="H579" s="18">
        <v>23249.16</v>
      </c>
      <c r="I579" s="87">
        <f t="shared" si="47"/>
        <v>38648.160000000003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213578</v>
      </c>
      <c r="G582" s="18"/>
      <c r="H582" s="18">
        <v>622340.38</v>
      </c>
      <c r="I582" s="87">
        <f t="shared" si="47"/>
        <v>835918.38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50474.94</v>
      </c>
      <c r="I584" s="87">
        <f t="shared" si="47"/>
        <v>50474.94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123726.6</v>
      </c>
      <c r="I591" s="18">
        <v>34041.81</v>
      </c>
      <c r="J591" s="18">
        <v>73811.7</v>
      </c>
      <c r="K591" s="104">
        <f t="shared" ref="K591:K597" si="48">SUM(H591:J591)</f>
        <v>231580.11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175469.12</v>
      </c>
      <c r="I592" s="18">
        <v>4832.1000000000004</v>
      </c>
      <c r="J592" s="18">
        <v>129640.11</v>
      </c>
      <c r="K592" s="104">
        <f t="shared" si="48"/>
        <v>309941.33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28320</v>
      </c>
      <c r="K593" s="104">
        <f t="shared" si="48"/>
        <v>28320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1815.6</v>
      </c>
      <c r="J594" s="18">
        <v>18582.599999999999</v>
      </c>
      <c r="K594" s="104">
        <f t="shared" si="48"/>
        <v>20398.199999999997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1020.19</v>
      </c>
      <c r="I595" s="18">
        <v>1446.2</v>
      </c>
      <c r="J595" s="18">
        <v>5254.84</v>
      </c>
      <c r="K595" s="104">
        <f t="shared" si="48"/>
        <v>7721.2300000000005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300215.90999999997</v>
      </c>
      <c r="I598" s="108">
        <f>SUM(I591:I597)</f>
        <v>42135.709999999992</v>
      </c>
      <c r="J598" s="108">
        <f>SUM(J591:J597)</f>
        <v>255609.25</v>
      </c>
      <c r="K598" s="108">
        <f>SUM(K591:K597)</f>
        <v>597960.86999999988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71097.039999999994</v>
      </c>
      <c r="I604" s="18">
        <v>22148.17</v>
      </c>
      <c r="J604" s="18">
        <v>37853.279999999999</v>
      </c>
      <c r="K604" s="104">
        <f>SUM(H604:J604)</f>
        <v>131098.49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71097.039999999994</v>
      </c>
      <c r="I605" s="108">
        <f>SUM(I602:I604)</f>
        <v>22148.17</v>
      </c>
      <c r="J605" s="108">
        <f>SUM(J602:J604)</f>
        <v>37853.279999999999</v>
      </c>
      <c r="K605" s="108">
        <f>SUM(K602:K604)</f>
        <v>131098.49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808610.48</v>
      </c>
      <c r="H617" s="109">
        <f>SUM(F52)</f>
        <v>808610.48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213945.66000000003</v>
      </c>
      <c r="H618" s="109">
        <f>SUM(G52)</f>
        <v>213945.66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139045.68</v>
      </c>
      <c r="H619" s="109">
        <f>SUM(H52)</f>
        <v>139045.68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670520.56000000006</v>
      </c>
      <c r="H621" s="109">
        <f>SUM(J52)</f>
        <v>670520.56000000006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102437.21</v>
      </c>
      <c r="H622" s="109">
        <f>F476</f>
        <v>102437.20999999903</v>
      </c>
      <c r="I622" s="121" t="s">
        <v>101</v>
      </c>
      <c r="J622" s="109">
        <f t="shared" ref="J622:J655" si="50">G622-H622</f>
        <v>9.7497832030057907E-10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15717.74</v>
      </c>
      <c r="H623" s="109">
        <f>G476</f>
        <v>15717.739999999991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670520.56000000006</v>
      </c>
      <c r="H626" s="109">
        <f>J476</f>
        <v>670520.55999999994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9960391.8599999994</v>
      </c>
      <c r="H627" s="104">
        <f>SUM(F468)</f>
        <v>9960391.8599999994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297956.55</v>
      </c>
      <c r="H628" s="104">
        <f>SUM(G468)</f>
        <v>297956.55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849696.07000000007</v>
      </c>
      <c r="H629" s="104">
        <f>SUM(H468)</f>
        <v>849696.07000000007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19258.45</v>
      </c>
      <c r="H631" s="104">
        <f>SUM(J468)</f>
        <v>19258.45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9936883.5899999999</v>
      </c>
      <c r="H632" s="104">
        <f>SUM(F472)</f>
        <v>9936883.5899999999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849696.07000000007</v>
      </c>
      <c r="H633" s="104">
        <f>SUM(H472)</f>
        <v>849696.07000000007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20657.98</v>
      </c>
      <c r="H634" s="104">
        <f>I369</f>
        <v>20657.98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299060.98</v>
      </c>
      <c r="H635" s="104">
        <f>SUM(G472)</f>
        <v>299060.98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19258.45</v>
      </c>
      <c r="H637" s="164">
        <f>SUM(J468)</f>
        <v>19258.45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14476.130000000001</v>
      </c>
      <c r="H638" s="164">
        <f>SUM(J472)</f>
        <v>14476.130000000001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16760.55</v>
      </c>
      <c r="H639" s="104">
        <f>SUM(F461)</f>
        <v>16760.55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445321.84</v>
      </c>
      <c r="H640" s="104">
        <f>SUM(G461)</f>
        <v>445321.84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208438.17</v>
      </c>
      <c r="H641" s="104">
        <f>SUM(H461)</f>
        <v>208438.17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670520.56000000006</v>
      </c>
      <c r="H642" s="104">
        <f>SUM(I461)</f>
        <v>670520.56000000006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5606.68</v>
      </c>
      <c r="H644" s="104">
        <f>H408</f>
        <v>5606.68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19258.45</v>
      </c>
      <c r="H646" s="104">
        <f>L408</f>
        <v>19258.45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597960.86999999988</v>
      </c>
      <c r="H647" s="104">
        <f>L208+L226+L244</f>
        <v>597960.87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131098.49</v>
      </c>
      <c r="H648" s="104">
        <f>(J257+J338)-(J255+J336)</f>
        <v>131098.49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300215.90999999997</v>
      </c>
      <c r="H649" s="104">
        <f>H598</f>
        <v>300215.90999999997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42135.71</v>
      </c>
      <c r="H650" s="104">
        <f>I598</f>
        <v>42135.709999999992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255609.25</v>
      </c>
      <c r="H651" s="104">
        <f>J598</f>
        <v>255609.25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13759.82</v>
      </c>
      <c r="H652" s="104">
        <f>K263+K345</f>
        <v>13759.82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5108962.7699999996</v>
      </c>
      <c r="G660" s="19">
        <f>(L229+L309+L359)</f>
        <v>1409513.9000000001</v>
      </c>
      <c r="H660" s="19">
        <f>(L247+L328+L360)</f>
        <v>4233341.8899999997</v>
      </c>
      <c r="I660" s="19">
        <f>SUM(F660:H660)</f>
        <v>10751818.559999999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33348.488474424186</v>
      </c>
      <c r="G661" s="19">
        <f>(L359/IF(SUM(L358:L360)=0,1,SUM(L358:L360))*(SUM(G97:G110)))</f>
        <v>13156.23156339219</v>
      </c>
      <c r="H661" s="19">
        <f>(L360/IF(SUM(L358:L360)=0,1,SUM(L358:L360))*(SUM(G97:G110)))</f>
        <v>27150.779962183635</v>
      </c>
      <c r="I661" s="19">
        <f>SUM(F661:H661)</f>
        <v>73655.500000000015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301419.90999999997</v>
      </c>
      <c r="G662" s="19">
        <f>(L226+L306)-(J226+J306)</f>
        <v>42135.71</v>
      </c>
      <c r="H662" s="19">
        <f>(L244+L325)-(J244+J325)</f>
        <v>257490.22</v>
      </c>
      <c r="I662" s="19">
        <f>SUM(F662:H662)</f>
        <v>601045.84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284675.03999999998</v>
      </c>
      <c r="G663" s="199">
        <f>SUM(G575:G587)+SUM(I602:I604)+L612</f>
        <v>37547.17</v>
      </c>
      <c r="H663" s="199">
        <f>SUM(H575:H587)+SUM(J602:J604)+L613</f>
        <v>747379.76</v>
      </c>
      <c r="I663" s="19">
        <f>SUM(F663:H663)</f>
        <v>1069601.97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4489519.3315255754</v>
      </c>
      <c r="G664" s="19">
        <f>G660-SUM(G661:G663)</f>
        <v>1316674.7884366079</v>
      </c>
      <c r="H664" s="19">
        <f>H660-SUM(H661:H663)</f>
        <v>3201321.1300378162</v>
      </c>
      <c r="I664" s="19">
        <f>I660-SUM(I661:I663)</f>
        <v>9007515.2499999981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326.29000000000002</v>
      </c>
      <c r="G665" s="248">
        <v>78.37</v>
      </c>
      <c r="H665" s="248">
        <v>161.02000000000001</v>
      </c>
      <c r="I665" s="19">
        <f>SUM(F665:H665)</f>
        <v>565.68000000000006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13759.29</v>
      </c>
      <c r="G667" s="19">
        <f>ROUND(G664/G665,2)</f>
        <v>16800.75</v>
      </c>
      <c r="H667" s="19">
        <f>ROUND(H664/H665,2)</f>
        <v>19881.509999999998</v>
      </c>
      <c r="I667" s="19">
        <f>ROUND(I664/I665,2)</f>
        <v>15923.34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-8.33</v>
      </c>
      <c r="I670" s="19">
        <f>SUM(F670:H670)</f>
        <v>-8.33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13759.29</v>
      </c>
      <c r="G672" s="19">
        <f>ROUND((G664+G669)/(G665+G670),2)</f>
        <v>16800.75</v>
      </c>
      <c r="H672" s="19">
        <f>ROUND((H664+H669)/(H665+H670),2)</f>
        <v>20966.150000000001</v>
      </c>
      <c r="I672" s="19">
        <f>ROUND((I664+I669)/(I665+I670),2)</f>
        <v>16161.33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Pittsfield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2129568.7800000003</v>
      </c>
      <c r="C9" s="229">
        <f>'DOE25'!G197+'DOE25'!G215+'DOE25'!G233+'DOE25'!G276+'DOE25'!G295+'DOE25'!G314</f>
        <v>1227429.1100000001</v>
      </c>
    </row>
    <row r="10" spans="1:3" x14ac:dyDescent="0.2">
      <c r="A10" t="s">
        <v>773</v>
      </c>
      <c r="B10" s="240">
        <v>1991638.39</v>
      </c>
      <c r="C10" s="240">
        <v>1204763.19</v>
      </c>
    </row>
    <row r="11" spans="1:3" x14ac:dyDescent="0.2">
      <c r="A11" t="s">
        <v>774</v>
      </c>
      <c r="B11" s="240">
        <v>104731.39</v>
      </c>
      <c r="C11" s="240">
        <v>22665.919999999998</v>
      </c>
    </row>
    <row r="12" spans="1:3" x14ac:dyDescent="0.2">
      <c r="A12" t="s">
        <v>775</v>
      </c>
      <c r="B12" s="240">
        <v>33199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2129568.7799999998</v>
      </c>
      <c r="C13" s="231">
        <f>SUM(C10:C12)</f>
        <v>1227429.1099999999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986685.97000000009</v>
      </c>
      <c r="C18" s="229">
        <f>'DOE25'!G198+'DOE25'!G216+'DOE25'!G234+'DOE25'!G277+'DOE25'!G296+'DOE25'!G315</f>
        <v>452923.56</v>
      </c>
    </row>
    <row r="19" spans="1:3" x14ac:dyDescent="0.2">
      <c r="A19" t="s">
        <v>773</v>
      </c>
      <c r="B19" s="240">
        <v>587615.52</v>
      </c>
      <c r="C19" s="240">
        <v>364340.04</v>
      </c>
    </row>
    <row r="20" spans="1:3" x14ac:dyDescent="0.2">
      <c r="A20" t="s">
        <v>774</v>
      </c>
      <c r="B20" s="240">
        <v>391824.52</v>
      </c>
      <c r="C20" s="240">
        <v>87991.46</v>
      </c>
    </row>
    <row r="21" spans="1:3" x14ac:dyDescent="0.2">
      <c r="A21" t="s">
        <v>775</v>
      </c>
      <c r="B21" s="240">
        <v>7245.93</v>
      </c>
      <c r="C21" s="240">
        <v>592.05999999999995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986685.97000000009</v>
      </c>
      <c r="C22" s="231">
        <f>SUM(C19:C21)</f>
        <v>452923.56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74443</v>
      </c>
      <c r="C36" s="235">
        <f>'DOE25'!G200+'DOE25'!G218+'DOE25'!G236+'DOE25'!G279+'DOE25'!G298+'DOE25'!G317</f>
        <v>10615.22</v>
      </c>
    </row>
    <row r="37" spans="1:3" x14ac:dyDescent="0.2">
      <c r="A37" t="s">
        <v>773</v>
      </c>
      <c r="B37" s="240">
        <v>22715</v>
      </c>
      <c r="C37" s="240">
        <v>5803.21</v>
      </c>
    </row>
    <row r="38" spans="1:3" x14ac:dyDescent="0.2">
      <c r="A38" t="s">
        <v>774</v>
      </c>
      <c r="B38" s="240">
        <v>1375</v>
      </c>
      <c r="C38" s="240">
        <v>261.66000000000003</v>
      </c>
    </row>
    <row r="39" spans="1:3" x14ac:dyDescent="0.2">
      <c r="A39" t="s">
        <v>775</v>
      </c>
      <c r="B39" s="240">
        <v>50353</v>
      </c>
      <c r="C39" s="240">
        <v>4550.3500000000004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74443</v>
      </c>
      <c r="C40" s="231">
        <f>SUM(C37:C39)</f>
        <v>10615.220000000001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Pittsfield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5664354.5399999991</v>
      </c>
      <c r="D5" s="20">
        <f>SUM('DOE25'!L197:L200)+SUM('DOE25'!L215:L218)+SUM('DOE25'!L233:L236)-F5-G5</f>
        <v>5639323.459999999</v>
      </c>
      <c r="E5" s="243"/>
      <c r="F5" s="255">
        <f>SUM('DOE25'!J197:J200)+SUM('DOE25'!J215:J218)+SUM('DOE25'!J233:J236)</f>
        <v>805.25</v>
      </c>
      <c r="G5" s="53">
        <f>SUM('DOE25'!K197:K200)+SUM('DOE25'!K215:K218)+SUM('DOE25'!K233:K236)</f>
        <v>24225.829999999998</v>
      </c>
      <c r="H5" s="259"/>
    </row>
    <row r="6" spans="1:9" x14ac:dyDescent="0.2">
      <c r="A6" s="32">
        <v>2100</v>
      </c>
      <c r="B6" t="s">
        <v>795</v>
      </c>
      <c r="C6" s="245">
        <f t="shared" si="0"/>
        <v>842833.41999999993</v>
      </c>
      <c r="D6" s="20">
        <f>'DOE25'!L202+'DOE25'!L220+'DOE25'!L238-F6-G6</f>
        <v>841615.91999999993</v>
      </c>
      <c r="E6" s="243"/>
      <c r="F6" s="255">
        <f>'DOE25'!J202+'DOE25'!J220+'DOE25'!J238</f>
        <v>0</v>
      </c>
      <c r="G6" s="53">
        <f>'DOE25'!K202+'DOE25'!K220+'DOE25'!K238</f>
        <v>1217.5</v>
      </c>
      <c r="H6" s="259"/>
    </row>
    <row r="7" spans="1:9" x14ac:dyDescent="0.2">
      <c r="A7" s="32">
        <v>2200</v>
      </c>
      <c r="B7" t="s">
        <v>828</v>
      </c>
      <c r="C7" s="245">
        <f t="shared" si="0"/>
        <v>478767.94</v>
      </c>
      <c r="D7" s="20">
        <f>'DOE25'!L203+'DOE25'!L221+'DOE25'!L239-F7-G7</f>
        <v>394781.27</v>
      </c>
      <c r="E7" s="243"/>
      <c r="F7" s="255">
        <f>'DOE25'!J203+'DOE25'!J221+'DOE25'!J239</f>
        <v>83986.67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113927.62999999999</v>
      </c>
      <c r="D8" s="243"/>
      <c r="E8" s="20">
        <f>'DOE25'!L204+'DOE25'!L222+'DOE25'!L240-F8-G8-D9-D11</f>
        <v>108125.35999999999</v>
      </c>
      <c r="F8" s="255">
        <f>'DOE25'!J204+'DOE25'!J222+'DOE25'!J240</f>
        <v>0</v>
      </c>
      <c r="G8" s="53">
        <f>'DOE25'!K204+'DOE25'!K222+'DOE25'!K240</f>
        <v>5802.27</v>
      </c>
      <c r="H8" s="259"/>
    </row>
    <row r="9" spans="1:9" x14ac:dyDescent="0.2">
      <c r="A9" s="32">
        <v>2310</v>
      </c>
      <c r="B9" t="s">
        <v>812</v>
      </c>
      <c r="C9" s="245">
        <f t="shared" si="0"/>
        <v>36730.43</v>
      </c>
      <c r="D9" s="244">
        <v>36730.43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9200</v>
      </c>
      <c r="D10" s="243"/>
      <c r="E10" s="244">
        <v>9200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217990.82</v>
      </c>
      <c r="D11" s="244">
        <v>217990.82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752770.6</v>
      </c>
      <c r="D12" s="20">
        <f>'DOE25'!L205+'DOE25'!L223+'DOE25'!L241-F12-G12</f>
        <v>751466.28999999992</v>
      </c>
      <c r="E12" s="243"/>
      <c r="F12" s="255">
        <f>'DOE25'!J205+'DOE25'!J223+'DOE25'!J241</f>
        <v>0</v>
      </c>
      <c r="G12" s="53">
        <f>'DOE25'!K205+'DOE25'!K223+'DOE25'!K241</f>
        <v>1304.3100000000002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900406.26</v>
      </c>
      <c r="D14" s="20">
        <f>'DOE25'!L207+'DOE25'!L225+'DOE25'!L243-F14-G14</f>
        <v>890595.29</v>
      </c>
      <c r="E14" s="243"/>
      <c r="F14" s="255">
        <f>'DOE25'!J207+'DOE25'!J225+'DOE25'!J243</f>
        <v>9810.9700000000012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597960.87</v>
      </c>
      <c r="D15" s="20">
        <f>'DOE25'!L208+'DOE25'!L226+'DOE25'!L244-F15-G15</f>
        <v>597960.87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310381.26</v>
      </c>
      <c r="D25" s="243"/>
      <c r="E25" s="243"/>
      <c r="F25" s="258"/>
      <c r="G25" s="256"/>
      <c r="H25" s="257">
        <f>'DOE25'!L260+'DOE25'!L261+'DOE25'!L341+'DOE25'!L342</f>
        <v>310381.26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278576.82</v>
      </c>
      <c r="D29" s="20">
        <f>'DOE25'!L358+'DOE25'!L359+'DOE25'!L360-'DOE25'!I367-F29-G29</f>
        <v>278576.82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847015.07000000007</v>
      </c>
      <c r="D31" s="20">
        <f>'DOE25'!L290+'DOE25'!L309+'DOE25'!L328+'DOE25'!L333+'DOE25'!L334+'DOE25'!L335-F31-G31</f>
        <v>807661.2300000001</v>
      </c>
      <c r="E31" s="243"/>
      <c r="F31" s="255">
        <f>'DOE25'!J290+'DOE25'!J309+'DOE25'!J328+'DOE25'!J333+'DOE25'!J334+'DOE25'!J335</f>
        <v>36495.599999999991</v>
      </c>
      <c r="G31" s="53">
        <f>'DOE25'!K290+'DOE25'!K309+'DOE25'!K328+'DOE25'!K333+'DOE25'!K334+'DOE25'!K335</f>
        <v>2858.24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10456702.399999999</v>
      </c>
      <c r="E33" s="246">
        <f>SUM(E5:E31)</f>
        <v>117325.35999999999</v>
      </c>
      <c r="F33" s="246">
        <f>SUM(F5:F31)</f>
        <v>131098.49</v>
      </c>
      <c r="G33" s="246">
        <f>SUM(G5:G31)</f>
        <v>35408.15</v>
      </c>
      <c r="H33" s="246">
        <f>SUM(H5:H31)</f>
        <v>310381.26</v>
      </c>
    </row>
    <row r="35" spans="2:8" ht="12" thickBot="1" x14ac:dyDescent="0.25">
      <c r="B35" s="253" t="s">
        <v>841</v>
      </c>
      <c r="D35" s="254">
        <f>E33</f>
        <v>117325.35999999999</v>
      </c>
      <c r="E35" s="249"/>
    </row>
    <row r="36" spans="2:8" ht="12" thickTop="1" x14ac:dyDescent="0.2">
      <c r="B36" t="s">
        <v>809</v>
      </c>
      <c r="D36" s="20">
        <f>D33</f>
        <v>10456702.399999999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Pittsfield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554169.29</v>
      </c>
      <c r="D8" s="95">
        <f>'DOE25'!G9</f>
        <v>161190.51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208438.17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195871.72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21326.27</v>
      </c>
      <c r="D12" s="95">
        <f>'DOE25'!G13</f>
        <v>42779.98</v>
      </c>
      <c r="E12" s="95">
        <f>'DOE25'!H13</f>
        <v>111219.68</v>
      </c>
      <c r="F12" s="95">
        <f>'DOE25'!I13</f>
        <v>0</v>
      </c>
      <c r="G12" s="95">
        <f>'DOE25'!J13</f>
        <v>462082.39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37243.199999999997</v>
      </c>
      <c r="D13" s="95">
        <f>'DOE25'!G14</f>
        <v>0</v>
      </c>
      <c r="E13" s="95">
        <f>'DOE25'!H14</f>
        <v>27826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9975.17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808610.48</v>
      </c>
      <c r="D18" s="41">
        <f>SUM(D8:D17)</f>
        <v>213945.66000000003</v>
      </c>
      <c r="E18" s="41">
        <f>SUM(E8:E17)</f>
        <v>139045.68</v>
      </c>
      <c r="F18" s="41">
        <f>SUM(F8:F17)</f>
        <v>0</v>
      </c>
      <c r="G18" s="41">
        <f>SUM(G8:G17)</f>
        <v>670520.56000000006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20463.64</v>
      </c>
      <c r="D21" s="95">
        <f>'DOE25'!G22</f>
        <v>194742.57</v>
      </c>
      <c r="E21" s="95">
        <f>'DOE25'!H22</f>
        <v>1129.1500000000001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250343.38</v>
      </c>
      <c r="D23" s="95">
        <f>'DOE25'!G24</f>
        <v>3485.35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435366.25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137916.53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706173.27</v>
      </c>
      <c r="D31" s="41">
        <f>SUM(D21:D30)</f>
        <v>198227.92</v>
      </c>
      <c r="E31" s="41">
        <f>SUM(E21:E30)</f>
        <v>139045.68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9975.17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208438.17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5742.57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462082.39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102437.21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102437.21</v>
      </c>
      <c r="D50" s="41">
        <f>SUM(D34:D49)</f>
        <v>15717.74</v>
      </c>
      <c r="E50" s="41">
        <f>SUM(E34:E49)</f>
        <v>0</v>
      </c>
      <c r="F50" s="41">
        <f>SUM(F34:F49)</f>
        <v>0</v>
      </c>
      <c r="G50" s="41">
        <f>SUM(G34:G49)</f>
        <v>670520.56000000006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808610.48</v>
      </c>
      <c r="D51" s="41">
        <f>D50+D31</f>
        <v>213945.66</v>
      </c>
      <c r="E51" s="41">
        <f>E50+E31</f>
        <v>139045.68</v>
      </c>
      <c r="F51" s="41">
        <f>F50+F31</f>
        <v>0</v>
      </c>
      <c r="G51" s="41">
        <f>G50+G31</f>
        <v>670520.56000000006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4897641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142.55000000000001</v>
      </c>
      <c r="D59" s="95">
        <f>'DOE25'!G96</f>
        <v>11.83</v>
      </c>
      <c r="E59" s="95">
        <f>'DOE25'!H96</f>
        <v>0</v>
      </c>
      <c r="F59" s="95">
        <f>'DOE25'!I96</f>
        <v>0</v>
      </c>
      <c r="G59" s="95">
        <f>'DOE25'!J96</f>
        <v>5606.68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73655.5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350</v>
      </c>
      <c r="D61" s="95">
        <f>SUM('DOE25'!G98:G110)</f>
        <v>0</v>
      </c>
      <c r="E61" s="95">
        <f>SUM('DOE25'!H98:H110)</f>
        <v>321407.21000000002</v>
      </c>
      <c r="F61" s="95">
        <f>SUM('DOE25'!I98:I110)</f>
        <v>0</v>
      </c>
      <c r="G61" s="95">
        <f>SUM('DOE25'!J98:J110)</f>
        <v>13651.77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492.55</v>
      </c>
      <c r="D62" s="130">
        <f>SUM(D57:D61)</f>
        <v>73667.33</v>
      </c>
      <c r="E62" s="130">
        <f>SUM(E57:E61)</f>
        <v>321407.21000000002</v>
      </c>
      <c r="F62" s="130">
        <f>SUM(F57:F61)</f>
        <v>0</v>
      </c>
      <c r="G62" s="130">
        <f>SUM(G57:G61)</f>
        <v>19258.45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4898133.55</v>
      </c>
      <c r="D63" s="22">
        <f>D56+D62</f>
        <v>73667.33</v>
      </c>
      <c r="E63" s="22">
        <f>E56+E62</f>
        <v>321407.21000000002</v>
      </c>
      <c r="F63" s="22">
        <f>F56+F62</f>
        <v>0</v>
      </c>
      <c r="G63" s="22">
        <f>G56+G62</f>
        <v>19258.45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4139094.89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561693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5127.97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4705915.8600000003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89923.26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144839.46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8803.5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4122.5600000000004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243566.21999999997</v>
      </c>
      <c r="D78" s="130">
        <f>SUM(D72:D77)</f>
        <v>4122.5600000000004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4949482.08</v>
      </c>
      <c r="D81" s="130">
        <f>SUM(D79:D80)+D78+D70</f>
        <v>4122.5600000000004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3581.85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110095.23</v>
      </c>
      <c r="D88" s="95">
        <f>SUM('DOE25'!G153:G161)</f>
        <v>206406.84</v>
      </c>
      <c r="E88" s="95">
        <f>SUM('DOE25'!H153:H161)</f>
        <v>524707.01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110095.23</v>
      </c>
      <c r="D91" s="131">
        <f>SUM(D85:D90)</f>
        <v>206406.84</v>
      </c>
      <c r="E91" s="131">
        <f>SUM(E85:E90)</f>
        <v>528288.86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13759.82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2681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2681</v>
      </c>
      <c r="D103" s="86">
        <f>SUM(D93:D102)</f>
        <v>13759.82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9960391.8599999994</v>
      </c>
      <c r="D104" s="86">
        <f>D63+D81+D91+D103</f>
        <v>297956.55</v>
      </c>
      <c r="E104" s="86">
        <f>E63+E81+E91+E103</f>
        <v>849696.07000000007</v>
      </c>
      <c r="F104" s="86">
        <f>F63+F81+F91+F103</f>
        <v>0</v>
      </c>
      <c r="G104" s="86">
        <f>G63+G81+G103</f>
        <v>19258.45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3201088.4799999995</v>
      </c>
      <c r="D109" s="24" t="s">
        <v>286</v>
      </c>
      <c r="E109" s="95">
        <f>('DOE25'!L276)+('DOE25'!L295)+('DOE25'!L314)</f>
        <v>321488.26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2295472.27</v>
      </c>
      <c r="D110" s="24" t="s">
        <v>286</v>
      </c>
      <c r="E110" s="95">
        <f>('DOE25'!L277)+('DOE25'!L296)+('DOE25'!L315)</f>
        <v>45651.21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50474.94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117318.85</v>
      </c>
      <c r="D112" s="24" t="s">
        <v>286</v>
      </c>
      <c r="E112" s="95">
        <f>+('DOE25'!L279)+('DOE25'!L298)+('DOE25'!L317)</f>
        <v>23104.14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7000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5671354.54</v>
      </c>
      <c r="D115" s="86">
        <f>SUM(D109:D114)</f>
        <v>0</v>
      </c>
      <c r="E115" s="86">
        <f>SUM(E109:E114)</f>
        <v>390243.61000000004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842833.41999999993</v>
      </c>
      <c r="D118" s="24" t="s">
        <v>286</v>
      </c>
      <c r="E118" s="95">
        <f>+('DOE25'!L281)+('DOE25'!L300)+('DOE25'!L319)</f>
        <v>101797.8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478767.94</v>
      </c>
      <c r="D119" s="24" t="s">
        <v>286</v>
      </c>
      <c r="E119" s="95">
        <f>+('DOE25'!L282)+('DOE25'!L301)+('DOE25'!L320)</f>
        <v>160852.78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368648.88</v>
      </c>
      <c r="D120" s="24" t="s">
        <v>286</v>
      </c>
      <c r="E120" s="95">
        <f>+('DOE25'!L283)+('DOE25'!L302)+('DOE25'!L321)</f>
        <v>67027.39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752770.6</v>
      </c>
      <c r="D121" s="24" t="s">
        <v>286</v>
      </c>
      <c r="E121" s="95">
        <f>+('DOE25'!L284)+('DOE25'!L303)+('DOE25'!L322)</f>
        <v>117211.36000000002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900406.26</v>
      </c>
      <c r="D123" s="24" t="s">
        <v>286</v>
      </c>
      <c r="E123" s="95">
        <f>+('DOE25'!L286)+('DOE25'!L305)+('DOE25'!L324)</f>
        <v>6797.16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597960.87</v>
      </c>
      <c r="D124" s="24" t="s">
        <v>286</v>
      </c>
      <c r="E124" s="95">
        <f>+('DOE25'!L287)+('DOE25'!L306)+('DOE25'!L325)</f>
        <v>3084.9700000000003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299060.98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3941387.9699999997</v>
      </c>
      <c r="D128" s="86">
        <f>SUM(D118:D127)</f>
        <v>299060.98</v>
      </c>
      <c r="E128" s="86">
        <f>SUM(E118:E127)</f>
        <v>456771.46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265000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45381.26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2681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13759.82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50.19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9326.5500000000011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9881.7099999999991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-19258.45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324141.08</v>
      </c>
      <c r="D144" s="141">
        <f>SUM(D130:D143)</f>
        <v>0</v>
      </c>
      <c r="E144" s="141">
        <f>SUM(E130:E143)</f>
        <v>2681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9936883.5899999999</v>
      </c>
      <c r="D145" s="86">
        <f>(D115+D128+D144)</f>
        <v>299060.98</v>
      </c>
      <c r="E145" s="86">
        <f>(E115+E128+E144)</f>
        <v>849696.07000000007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5300000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5.58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795000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265000</v>
      </c>
    </row>
    <row r="159" spans="1:9" x14ac:dyDescent="0.2">
      <c r="A159" s="22" t="s">
        <v>35</v>
      </c>
      <c r="B159" s="137">
        <f>'DOE25'!F498</f>
        <v>530000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530000</v>
      </c>
    </row>
    <row r="160" spans="1:9" x14ac:dyDescent="0.2">
      <c r="A160" s="22" t="s">
        <v>36</v>
      </c>
      <c r="B160" s="137">
        <f>'DOE25'!F499</f>
        <v>45712.5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45712.5</v>
      </c>
    </row>
    <row r="161" spans="1:7" x14ac:dyDescent="0.2">
      <c r="A161" s="22" t="s">
        <v>37</v>
      </c>
      <c r="B161" s="137">
        <f>'DOE25'!F500</f>
        <v>575712.5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575712.5</v>
      </c>
    </row>
    <row r="162" spans="1:7" x14ac:dyDescent="0.2">
      <c r="A162" s="22" t="s">
        <v>38</v>
      </c>
      <c r="B162" s="137">
        <f>'DOE25'!F501</f>
        <v>265000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265000</v>
      </c>
    </row>
    <row r="163" spans="1:7" x14ac:dyDescent="0.2">
      <c r="A163" s="22" t="s">
        <v>39</v>
      </c>
      <c r="B163" s="137">
        <f>'DOE25'!F502</f>
        <v>30475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30475</v>
      </c>
    </row>
    <row r="164" spans="1:7" x14ac:dyDescent="0.2">
      <c r="A164" s="22" t="s">
        <v>246</v>
      </c>
      <c r="B164" s="137">
        <f>'DOE25'!F503</f>
        <v>295475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295475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Pittsfield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13759</v>
      </c>
    </row>
    <row r="5" spans="1:4" x14ac:dyDescent="0.2">
      <c r="B5" t="s">
        <v>698</v>
      </c>
      <c r="C5" s="179">
        <f>IF('DOE25'!G665+'DOE25'!G670=0,0,ROUND('DOE25'!G672,0))</f>
        <v>16801</v>
      </c>
    </row>
    <row r="6" spans="1:4" x14ac:dyDescent="0.2">
      <c r="B6" t="s">
        <v>62</v>
      </c>
      <c r="C6" s="179">
        <f>IF('DOE25'!H665+'DOE25'!H670=0,0,ROUND('DOE25'!H672,0))</f>
        <v>20966</v>
      </c>
    </row>
    <row r="7" spans="1:4" x14ac:dyDescent="0.2">
      <c r="B7" t="s">
        <v>699</v>
      </c>
      <c r="C7" s="179">
        <f>IF('DOE25'!I665+'DOE25'!I670=0,0,ROUND('DOE25'!I672,0))</f>
        <v>16161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3522577</v>
      </c>
      <c r="D10" s="182">
        <f>ROUND((C10/$C$28)*100,1)</f>
        <v>32.799999999999997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2341123</v>
      </c>
      <c r="D11" s="182">
        <f>ROUND((C11/$C$28)*100,1)</f>
        <v>21.8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50475</v>
      </c>
      <c r="D12" s="182">
        <f>ROUND((C12/$C$28)*100,1)</f>
        <v>0.5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140423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944631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639621</v>
      </c>
      <c r="D16" s="182">
        <f t="shared" si="0"/>
        <v>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435676</v>
      </c>
      <c r="D17" s="182">
        <f t="shared" si="0"/>
        <v>4.0999999999999996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869982</v>
      </c>
      <c r="D18" s="182">
        <f t="shared" si="0"/>
        <v>8.1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907203</v>
      </c>
      <c r="D20" s="182">
        <f t="shared" si="0"/>
        <v>8.5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601046</v>
      </c>
      <c r="D21" s="182">
        <f t="shared" si="0"/>
        <v>5.6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7000</v>
      </c>
      <c r="D23" s="182">
        <f t="shared" si="0"/>
        <v>0.1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45381</v>
      </c>
      <c r="D25" s="182">
        <f t="shared" si="0"/>
        <v>0.4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225405.5</v>
      </c>
      <c r="D27" s="182">
        <f t="shared" si="0"/>
        <v>2.1</v>
      </c>
    </row>
    <row r="28" spans="1:4" x14ac:dyDescent="0.2">
      <c r="B28" s="187" t="s">
        <v>717</v>
      </c>
      <c r="C28" s="180">
        <f>SUM(C10:C27)</f>
        <v>10730543.5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10730543.5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265000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4897641</v>
      </c>
      <c r="D35" s="182">
        <f t="shared" ref="D35:D40" si="1">ROUND((C35/$C$41)*100,1)</f>
        <v>44.4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341170.04000000004</v>
      </c>
      <c r="D36" s="182">
        <f t="shared" si="1"/>
        <v>3.1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4700788</v>
      </c>
      <c r="D37" s="182">
        <f t="shared" si="1"/>
        <v>42.6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252817</v>
      </c>
      <c r="D38" s="182">
        <f t="shared" si="1"/>
        <v>2.2999999999999998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844791</v>
      </c>
      <c r="D39" s="182">
        <f t="shared" si="1"/>
        <v>7.7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11037207.039999999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Pittsfield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2018-12-03T19:52:29Z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