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1570" windowHeight="75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E24" i="2" l="1"/>
  <c r="D24" i="2"/>
  <c r="C24" i="2"/>
  <c r="E23" i="2"/>
  <c r="D23" i="2"/>
  <c r="C23" i="2"/>
  <c r="E22" i="2"/>
  <c r="D22" i="2"/>
  <c r="C22" i="2"/>
  <c r="I521" i="1"/>
  <c r="H521" i="1"/>
  <c r="F521" i="1"/>
  <c r="I526" i="1"/>
  <c r="G526" i="1"/>
  <c r="F526" i="1"/>
  <c r="J526" i="1"/>
  <c r="H526" i="1"/>
  <c r="H523" i="1"/>
  <c r="J521" i="1"/>
  <c r="G521" i="1"/>
  <c r="D9" i="13"/>
  <c r="H465" i="1"/>
  <c r="F277" i="1"/>
  <c r="B21" i="12"/>
  <c r="B20" i="12"/>
  <c r="F276" i="1"/>
  <c r="B11" i="12"/>
  <c r="B10" i="12"/>
  <c r="I197" i="1"/>
  <c r="H204" i="1"/>
  <c r="H198" i="1"/>
  <c r="H207" i="1"/>
  <c r="H358" i="1"/>
  <c r="L358" i="1"/>
  <c r="H208" i="1"/>
  <c r="L208" i="1" s="1"/>
  <c r="I207" i="1"/>
  <c r="G207" i="1"/>
  <c r="F207" i="1"/>
  <c r="G205" i="1"/>
  <c r="F205" i="1"/>
  <c r="K204" i="1"/>
  <c r="J204" i="1"/>
  <c r="I204" i="1"/>
  <c r="G204" i="1"/>
  <c r="F204" i="1"/>
  <c r="L205" i="1"/>
  <c r="H205" i="1"/>
  <c r="J203" i="1"/>
  <c r="I203" i="1"/>
  <c r="H203" i="1"/>
  <c r="G203" i="1"/>
  <c r="F203" i="1"/>
  <c r="I202" i="1"/>
  <c r="G202" i="1"/>
  <c r="F202" i="1"/>
  <c r="J202" i="1"/>
  <c r="H202" i="1"/>
  <c r="G200" i="1"/>
  <c r="F200" i="1"/>
  <c r="G198" i="1"/>
  <c r="F198" i="1"/>
  <c r="L198" i="1" s="1"/>
  <c r="C11" i="10" s="1"/>
  <c r="H233" i="1"/>
  <c r="K197" i="1"/>
  <c r="J197" i="1"/>
  <c r="H197" i="1"/>
  <c r="G197" i="1"/>
  <c r="L197" i="1" s="1"/>
  <c r="H598" i="1"/>
  <c r="H649" i="1" s="1"/>
  <c r="B36" i="12"/>
  <c r="L207" i="1"/>
  <c r="H531" i="1"/>
  <c r="F524" i="1"/>
  <c r="B39" i="12"/>
  <c r="B40" i="12"/>
  <c r="G12" i="1"/>
  <c r="H22" i="1"/>
  <c r="H276" i="1"/>
  <c r="H102" i="1"/>
  <c r="H277" i="1"/>
  <c r="I277" i="1"/>
  <c r="E21" i="2"/>
  <c r="H13" i="1"/>
  <c r="H29" i="1"/>
  <c r="H9" i="1"/>
  <c r="E8" i="2"/>
  <c r="F9" i="1"/>
  <c r="G51" i="1"/>
  <c r="G623" i="1" s="1"/>
  <c r="C37" i="10"/>
  <c r="F40" i="2"/>
  <c r="D39" i="2"/>
  <c r="G655" i="1"/>
  <c r="F48" i="2"/>
  <c r="E48" i="2"/>
  <c r="D48" i="2"/>
  <c r="C48" i="2"/>
  <c r="F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/>
  <c r="G38" i="2" s="1"/>
  <c r="C68" i="2"/>
  <c r="B2" i="13"/>
  <c r="F8" i="13"/>
  <c r="G8" i="13"/>
  <c r="L222" i="1"/>
  <c r="L240" i="1"/>
  <c r="D39" i="13"/>
  <c r="F13" i="13"/>
  <c r="G13" i="13"/>
  <c r="L206" i="1"/>
  <c r="L224" i="1"/>
  <c r="L242" i="1"/>
  <c r="F16" i="13"/>
  <c r="G16" i="13"/>
  <c r="L209" i="1"/>
  <c r="C125" i="2" s="1"/>
  <c r="L227" i="1"/>
  <c r="L245" i="1"/>
  <c r="F5" i="13"/>
  <c r="G5" i="13"/>
  <c r="L199" i="1"/>
  <c r="L200" i="1"/>
  <c r="L215" i="1"/>
  <c r="L216" i="1"/>
  <c r="L217" i="1"/>
  <c r="L218" i="1"/>
  <c r="C112" i="2" s="1"/>
  <c r="L233" i="1"/>
  <c r="L234" i="1"/>
  <c r="L235" i="1"/>
  <c r="L236" i="1"/>
  <c r="F6" i="13"/>
  <c r="G6" i="13"/>
  <c r="L220" i="1"/>
  <c r="L238" i="1"/>
  <c r="F7" i="13"/>
  <c r="G7" i="13"/>
  <c r="L203" i="1"/>
  <c r="L221" i="1"/>
  <c r="L239" i="1"/>
  <c r="F12" i="13"/>
  <c r="G12" i="13"/>
  <c r="L223" i="1"/>
  <c r="L241" i="1"/>
  <c r="F14" i="13"/>
  <c r="G14" i="13"/>
  <c r="L225" i="1"/>
  <c r="L243" i="1"/>
  <c r="F15" i="13"/>
  <c r="G15" i="13"/>
  <c r="L226" i="1"/>
  <c r="L244" i="1"/>
  <c r="F17" i="13"/>
  <c r="D17" i="13"/>
  <c r="C17" i="13"/>
  <c r="G17" i="13"/>
  <c r="L251" i="1"/>
  <c r="F18" i="13"/>
  <c r="G18" i="13"/>
  <c r="L252" i="1"/>
  <c r="F19" i="13"/>
  <c r="G19" i="13"/>
  <c r="L253" i="1"/>
  <c r="F29" i="13"/>
  <c r="G29" i="13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E110" i="2" s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28" i="1" s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/>
  <c r="L261" i="1"/>
  <c r="L341" i="1"/>
  <c r="L342" i="1"/>
  <c r="L255" i="1"/>
  <c r="L336" i="1"/>
  <c r="C11" i="13"/>
  <c r="C10" i="13"/>
  <c r="C9" i="13"/>
  <c r="L361" i="1"/>
  <c r="B4" i="12"/>
  <c r="C36" i="12"/>
  <c r="C37" i="12" s="1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J112" i="1" s="1"/>
  <c r="J193" i="1" s="1"/>
  <c r="G59" i="2"/>
  <c r="G61" i="2"/>
  <c r="F2" i="11"/>
  <c r="L613" i="1"/>
  <c r="H663" i="1" s="1"/>
  <c r="L612" i="1"/>
  <c r="G663" i="1" s="1"/>
  <c r="L611" i="1"/>
  <c r="C40" i="10"/>
  <c r="F60" i="1"/>
  <c r="C35" i="10" s="1"/>
  <c r="G60" i="1"/>
  <c r="H60" i="1"/>
  <c r="I60" i="1"/>
  <c r="I112" i="1" s="1"/>
  <c r="F79" i="1"/>
  <c r="F94" i="1"/>
  <c r="F111" i="1"/>
  <c r="G111" i="1"/>
  <c r="G112" i="1"/>
  <c r="H79" i="1"/>
  <c r="H94" i="1"/>
  <c r="E58" i="2" s="1"/>
  <c r="E62" i="2" s="1"/>
  <c r="E63" i="2" s="1"/>
  <c r="H111" i="1"/>
  <c r="I111" i="1"/>
  <c r="J111" i="1"/>
  <c r="F121" i="1"/>
  <c r="F136" i="1"/>
  <c r="G121" i="1"/>
  <c r="G140" i="1" s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9" i="10"/>
  <c r="L250" i="1"/>
  <c r="L332" i="1"/>
  <c r="E113" i="2" s="1"/>
  <c r="L254" i="1"/>
  <c r="C25" i="10"/>
  <c r="L268" i="1"/>
  <c r="L269" i="1"/>
  <c r="L349" i="1"/>
  <c r="L350" i="1"/>
  <c r="I665" i="1"/>
  <c r="I670" i="1"/>
  <c r="G662" i="1"/>
  <c r="I669" i="1"/>
  <c r="C42" i="10"/>
  <c r="L374" i="1"/>
  <c r="L375" i="1"/>
  <c r="L376" i="1"/>
  <c r="L377" i="1"/>
  <c r="F130" i="2"/>
  <c r="L378" i="1"/>
  <c r="L379" i="1"/>
  <c r="L380" i="1"/>
  <c r="B2" i="10"/>
  <c r="L344" i="1"/>
  <c r="L345" i="1"/>
  <c r="L351" i="1" s="1"/>
  <c r="L346" i="1"/>
  <c r="L347" i="1"/>
  <c r="K351" i="1"/>
  <c r="L521" i="1"/>
  <c r="F549" i="1"/>
  <c r="L522" i="1"/>
  <c r="F550" i="1"/>
  <c r="L523" i="1"/>
  <c r="F551" i="1"/>
  <c r="L526" i="1"/>
  <c r="L527" i="1"/>
  <c r="G550" i="1"/>
  <c r="L528" i="1"/>
  <c r="G551" i="1"/>
  <c r="L531" i="1"/>
  <c r="H549" i="1"/>
  <c r="L532" i="1"/>
  <c r="L533" i="1"/>
  <c r="H551" i="1" s="1"/>
  <c r="H552" i="1" s="1"/>
  <c r="L536" i="1"/>
  <c r="L537" i="1"/>
  <c r="I550" i="1"/>
  <c r="L538" i="1"/>
  <c r="I551" i="1"/>
  <c r="L541" i="1"/>
  <c r="J549" i="1"/>
  <c r="L542" i="1"/>
  <c r="J550" i="1"/>
  <c r="L543" i="1"/>
  <c r="J551" i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F8" i="2"/>
  <c r="I439" i="1"/>
  <c r="C9" i="2"/>
  <c r="D9" i="2"/>
  <c r="E9" i="2"/>
  <c r="F9" i="2"/>
  <c r="I440" i="1"/>
  <c r="J10" i="1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/>
  <c r="G12" i="2" s="1"/>
  <c r="C13" i="2"/>
  <c r="D13" i="2"/>
  <c r="E13" i="2"/>
  <c r="F13" i="2"/>
  <c r="I443" i="1"/>
  <c r="J14" i="1"/>
  <c r="G13" i="2" s="1"/>
  <c r="F14" i="2"/>
  <c r="F18" i="2" s="1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 s="1"/>
  <c r="C21" i="2"/>
  <c r="D21" i="2"/>
  <c r="F21" i="2"/>
  <c r="I448" i="1"/>
  <c r="J22" i="1"/>
  <c r="G21" i="2" s="1"/>
  <c r="D31" i="2"/>
  <c r="F22" i="2"/>
  <c r="I449" i="1"/>
  <c r="F23" i="2"/>
  <c r="I450" i="1"/>
  <c r="J24" i="1" s="1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I456" i="1"/>
  <c r="J43" i="1" s="1"/>
  <c r="G42" i="2" s="1"/>
  <c r="I457" i="1"/>
  <c r="J37" i="1" s="1"/>
  <c r="G36" i="2" s="1"/>
  <c r="C49" i="2"/>
  <c r="D56" i="2"/>
  <c r="F56" i="2"/>
  <c r="C57" i="2"/>
  <c r="C62" i="2" s="1"/>
  <c r="E57" i="2"/>
  <c r="C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F78" i="2" s="1"/>
  <c r="C77" i="2"/>
  <c r="D77" i="2"/>
  <c r="D78" i="2" s="1"/>
  <c r="D81" i="2" s="1"/>
  <c r="D104" i="2" s="1"/>
  <c r="E77" i="2"/>
  <c r="E78" i="2"/>
  <c r="E81" i="2" s="1"/>
  <c r="F77" i="2"/>
  <c r="G77" i="2"/>
  <c r="G78" i="2"/>
  <c r="G81" i="2" s="1"/>
  <c r="C79" i="2"/>
  <c r="D79" i="2"/>
  <c r="E79" i="2"/>
  <c r="C80" i="2"/>
  <c r="E80" i="2"/>
  <c r="D85" i="2"/>
  <c r="F85" i="2"/>
  <c r="F91" i="2" s="1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C103" i="2" s="1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G103" i="2" s="1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1" i="2"/>
  <c r="C113" i="2"/>
  <c r="E114" i="2"/>
  <c r="D115" i="2"/>
  <c r="F115" i="2"/>
  <c r="G115" i="2"/>
  <c r="E118" i="2"/>
  <c r="C119" i="2"/>
  <c r="E119" i="2"/>
  <c r="E120" i="2"/>
  <c r="C122" i="2"/>
  <c r="E122" i="2"/>
  <c r="E123" i="2"/>
  <c r="E124" i="2"/>
  <c r="F128" i="2"/>
  <c r="G128" i="2"/>
  <c r="E130" i="2"/>
  <c r="D134" i="2"/>
  <c r="D144" i="2"/>
  <c r="E134" i="2"/>
  <c r="F134" i="2"/>
  <c r="K419" i="1"/>
  <c r="K427" i="1"/>
  <c r="K433" i="1"/>
  <c r="L263" i="1"/>
  <c r="C135" i="2" s="1"/>
  <c r="E135" i="2"/>
  <c r="L264" i="1"/>
  <c r="C136" i="2"/>
  <c r="L265" i="1"/>
  <c r="C137" i="2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K500" i="1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G503" i="1"/>
  <c r="C164" i="2" s="1"/>
  <c r="G164" i="2" s="1"/>
  <c r="H503" i="1"/>
  <c r="D164" i="2" s="1"/>
  <c r="I503" i="1"/>
  <c r="E164" i="2" s="1"/>
  <c r="J503" i="1"/>
  <c r="F164" i="2" s="1"/>
  <c r="F19" i="1"/>
  <c r="G19" i="1"/>
  <c r="I19" i="1"/>
  <c r="G620" i="1"/>
  <c r="F32" i="1"/>
  <c r="G32" i="1"/>
  <c r="H32" i="1"/>
  <c r="I32" i="1"/>
  <c r="I51" i="1"/>
  <c r="F177" i="1"/>
  <c r="I177" i="1"/>
  <c r="I192" i="1" s="1"/>
  <c r="F183" i="1"/>
  <c r="G183" i="1"/>
  <c r="H183" i="1"/>
  <c r="I183" i="1"/>
  <c r="J183" i="1"/>
  <c r="J192" i="1"/>
  <c r="F188" i="1"/>
  <c r="G188" i="1"/>
  <c r="G192" i="1" s="1"/>
  <c r="H188" i="1"/>
  <c r="I188" i="1"/>
  <c r="G211" i="1"/>
  <c r="G257" i="1"/>
  <c r="G271" i="1" s="1"/>
  <c r="I211" i="1"/>
  <c r="I257" i="1" s="1"/>
  <c r="I271" i="1" s="1"/>
  <c r="J211" i="1"/>
  <c r="H604" i="1" s="1"/>
  <c r="K211" i="1"/>
  <c r="F229" i="1"/>
  <c r="G229" i="1"/>
  <c r="H229" i="1"/>
  <c r="I229" i="1"/>
  <c r="J229" i="1"/>
  <c r="J257" i="1" s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K257" i="1" s="1"/>
  <c r="K271" i="1" s="1"/>
  <c r="F290" i="1"/>
  <c r="G290" i="1"/>
  <c r="H290" i="1"/>
  <c r="I290" i="1"/>
  <c r="I338" i="1" s="1"/>
  <c r="I352" i="1" s="1"/>
  <c r="F309" i="1"/>
  <c r="G309" i="1"/>
  <c r="H309" i="1"/>
  <c r="I309" i="1"/>
  <c r="F328" i="1"/>
  <c r="F338" i="1" s="1"/>
  <c r="F352" i="1" s="1"/>
  <c r="G328" i="1"/>
  <c r="H328" i="1"/>
  <c r="I328" i="1"/>
  <c r="F337" i="1"/>
  <c r="G337" i="1"/>
  <c r="L337" i="1" s="1"/>
  <c r="H337" i="1"/>
  <c r="H338" i="1" s="1"/>
  <c r="H352" i="1" s="1"/>
  <c r="I337" i="1"/>
  <c r="J337" i="1"/>
  <c r="K337" i="1"/>
  <c r="F362" i="1"/>
  <c r="G362" i="1"/>
  <c r="H362" i="1"/>
  <c r="I362" i="1"/>
  <c r="J362" i="1"/>
  <c r="K362" i="1"/>
  <c r="I368" i="1"/>
  <c r="I369" i="1" s="1"/>
  <c r="H634" i="1" s="1"/>
  <c r="F369" i="1"/>
  <c r="G369" i="1"/>
  <c r="H369" i="1"/>
  <c r="L381" i="1"/>
  <c r="L382" i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4" i="1" s="1"/>
  <c r="L430" i="1"/>
  <c r="L431" i="1"/>
  <c r="L432" i="1"/>
  <c r="F433" i="1"/>
  <c r="G433" i="1"/>
  <c r="H433" i="1"/>
  <c r="I433" i="1"/>
  <c r="I434" i="1" s="1"/>
  <c r="J433" i="1"/>
  <c r="F446" i="1"/>
  <c r="G446" i="1"/>
  <c r="G459" i="1" s="1"/>
  <c r="G640" i="1"/>
  <c r="H446" i="1"/>
  <c r="F452" i="1"/>
  <c r="G452" i="1"/>
  <c r="H452" i="1"/>
  <c r="F460" i="1"/>
  <c r="H460" i="1"/>
  <c r="F461" i="1"/>
  <c r="H461" i="1"/>
  <c r="F470" i="1"/>
  <c r="I470" i="1"/>
  <c r="I474" i="1"/>
  <c r="K495" i="1"/>
  <c r="K496" i="1"/>
  <c r="K497" i="1"/>
  <c r="K498" i="1"/>
  <c r="K499" i="1"/>
  <c r="K501" i="1"/>
  <c r="K502" i="1"/>
  <c r="F517" i="1"/>
  <c r="G517" i="1"/>
  <c r="H517" i="1"/>
  <c r="I517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F571" i="1" s="1"/>
  <c r="G560" i="1"/>
  <c r="H560" i="1"/>
  <c r="I560" i="1"/>
  <c r="J560" i="1"/>
  <c r="J571" i="1" s="1"/>
  <c r="K560" i="1"/>
  <c r="L562" i="1"/>
  <c r="L565" i="1" s="1"/>
  <c r="L563" i="1"/>
  <c r="L564" i="1"/>
  <c r="F565" i="1"/>
  <c r="G565" i="1"/>
  <c r="H565" i="1"/>
  <c r="I565" i="1"/>
  <c r="I571" i="1"/>
  <c r="J565" i="1"/>
  <c r="K565" i="1"/>
  <c r="L567" i="1"/>
  <c r="L568" i="1"/>
  <c r="L570" i="1" s="1"/>
  <c r="L569" i="1"/>
  <c r="F570" i="1"/>
  <c r="G570" i="1"/>
  <c r="H570" i="1"/>
  <c r="H571" i="1" s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8" i="1"/>
  <c r="G647" i="1" s="1"/>
  <c r="K596" i="1"/>
  <c r="K597" i="1"/>
  <c r="I598" i="1"/>
  <c r="H650" i="1" s="1"/>
  <c r="J650" i="1" s="1"/>
  <c r="J598" i="1"/>
  <c r="H651" i="1"/>
  <c r="K602" i="1"/>
  <c r="K603" i="1"/>
  <c r="I605" i="1"/>
  <c r="J605" i="1"/>
  <c r="F614" i="1"/>
  <c r="G614" i="1"/>
  <c r="H614" i="1"/>
  <c r="I614" i="1"/>
  <c r="J614" i="1"/>
  <c r="K614" i="1"/>
  <c r="L614" i="1"/>
  <c r="G618" i="1"/>
  <c r="H627" i="1"/>
  <c r="H630" i="1"/>
  <c r="G634" i="1"/>
  <c r="J634" i="1" s="1"/>
  <c r="H636" i="1"/>
  <c r="G639" i="1"/>
  <c r="H639" i="1"/>
  <c r="G641" i="1"/>
  <c r="J641" i="1" s="1"/>
  <c r="H641" i="1"/>
  <c r="G643" i="1"/>
  <c r="G644" i="1"/>
  <c r="H644" i="1"/>
  <c r="J644" i="1"/>
  <c r="G645" i="1"/>
  <c r="H645" i="1"/>
  <c r="G650" i="1"/>
  <c r="G652" i="1"/>
  <c r="J652" i="1" s="1"/>
  <c r="H652" i="1"/>
  <c r="G653" i="1"/>
  <c r="H653" i="1"/>
  <c r="G654" i="1"/>
  <c r="J654" i="1" s="1"/>
  <c r="H654" i="1"/>
  <c r="H655" i="1"/>
  <c r="F192" i="1"/>
  <c r="D62" i="2"/>
  <c r="D91" i="2"/>
  <c r="K571" i="1"/>
  <c r="I169" i="1"/>
  <c r="I476" i="1"/>
  <c r="H625" i="1" s="1"/>
  <c r="J625" i="1" s="1"/>
  <c r="G338" i="1"/>
  <c r="G352" i="1" s="1"/>
  <c r="J140" i="1"/>
  <c r="H140" i="1"/>
  <c r="L560" i="1"/>
  <c r="H192" i="1"/>
  <c r="J645" i="1"/>
  <c r="F62" i="2"/>
  <c r="F63" i="2" s="1"/>
  <c r="F50" i="2"/>
  <c r="L407" i="1"/>
  <c r="C140" i="2" s="1"/>
  <c r="J653" i="1"/>
  <c r="J434" i="1"/>
  <c r="F434" i="1"/>
  <c r="K434" i="1"/>
  <c r="G134" i="2"/>
  <c r="G144" i="2" s="1"/>
  <c r="G145" i="2" s="1"/>
  <c r="C6" i="10"/>
  <c r="F31" i="13"/>
  <c r="G169" i="1"/>
  <c r="C5" i="10"/>
  <c r="G16" i="2"/>
  <c r="H434" i="1"/>
  <c r="I140" i="1"/>
  <c r="G571" i="1"/>
  <c r="G434" i="1"/>
  <c r="G545" i="1"/>
  <c r="L270" i="1"/>
  <c r="D103" i="2"/>
  <c r="D18" i="2"/>
  <c r="J338" i="1"/>
  <c r="J352" i="1" s="1"/>
  <c r="H19" i="1"/>
  <c r="H48" i="1" s="1"/>
  <c r="G619" i="1"/>
  <c r="K503" i="1"/>
  <c r="B164" i="2"/>
  <c r="C161" i="2"/>
  <c r="G159" i="2"/>
  <c r="J639" i="1"/>
  <c r="J655" i="1"/>
  <c r="G651" i="1"/>
  <c r="J651" i="1" s="1"/>
  <c r="H662" i="1"/>
  <c r="C78" i="2"/>
  <c r="F140" i="1"/>
  <c r="C56" i="2"/>
  <c r="C63" i="2" s="1"/>
  <c r="C104" i="2" s="1"/>
  <c r="F112" i="1"/>
  <c r="G52" i="1"/>
  <c r="H618" i="1"/>
  <c r="J618" i="1" s="1"/>
  <c r="D19" i="13"/>
  <c r="C19" i="13" s="1"/>
  <c r="D18" i="13"/>
  <c r="C18" i="13" s="1"/>
  <c r="E13" i="13"/>
  <c r="C13" i="13" s="1"/>
  <c r="G163" i="2"/>
  <c r="G162" i="2"/>
  <c r="G160" i="2"/>
  <c r="G157" i="2"/>
  <c r="G156" i="2"/>
  <c r="E144" i="2"/>
  <c r="G62" i="2"/>
  <c r="C70" i="2"/>
  <c r="C18" i="2"/>
  <c r="E18" i="2"/>
  <c r="F31" i="2"/>
  <c r="F51" i="2"/>
  <c r="C143" i="2"/>
  <c r="C26" i="10"/>
  <c r="L309" i="1"/>
  <c r="C13" i="10"/>
  <c r="E112" i="2"/>
  <c r="L290" i="1"/>
  <c r="L247" i="1"/>
  <c r="E16" i="13"/>
  <c r="C16" i="13" s="1"/>
  <c r="C24" i="10"/>
  <c r="C23" i="10"/>
  <c r="C114" i="2"/>
  <c r="I452" i="1"/>
  <c r="J23" i="1"/>
  <c r="H112" i="1"/>
  <c r="E56" i="2"/>
  <c r="C130" i="2"/>
  <c r="F22" i="13"/>
  <c r="C22" i="13" s="1"/>
  <c r="E125" i="2"/>
  <c r="E103" i="2"/>
  <c r="F103" i="2"/>
  <c r="D63" i="2"/>
  <c r="J49" i="1"/>
  <c r="G48" i="2" s="1"/>
  <c r="I446" i="1"/>
  <c r="G642" i="1"/>
  <c r="J9" i="1"/>
  <c r="I549" i="1"/>
  <c r="I552" i="1"/>
  <c r="L539" i="1"/>
  <c r="C32" i="10"/>
  <c r="L401" i="1"/>
  <c r="J468" i="1" s="1"/>
  <c r="C139" i="2"/>
  <c r="L534" i="1"/>
  <c r="H550" i="1"/>
  <c r="K550" i="1" s="1"/>
  <c r="E121" i="2"/>
  <c r="E128" i="2" s="1"/>
  <c r="K338" i="1"/>
  <c r="K352" i="1"/>
  <c r="G31" i="13"/>
  <c r="G33" i="13" s="1"/>
  <c r="L229" i="1"/>
  <c r="G660" i="1"/>
  <c r="C29" i="10"/>
  <c r="H25" i="13"/>
  <c r="L427" i="1"/>
  <c r="L419" i="1"/>
  <c r="G625" i="1"/>
  <c r="I52" i="1"/>
  <c r="H620" i="1" s="1"/>
  <c r="J620" i="1" s="1"/>
  <c r="G161" i="2"/>
  <c r="G158" i="2"/>
  <c r="L529" i="1"/>
  <c r="G549" i="1"/>
  <c r="G552" i="1" s="1"/>
  <c r="H169" i="1"/>
  <c r="E85" i="2"/>
  <c r="E91" i="2"/>
  <c r="F169" i="1"/>
  <c r="C85" i="2"/>
  <c r="C91" i="2"/>
  <c r="C81" i="2"/>
  <c r="H33" i="13"/>
  <c r="C25" i="13"/>
  <c r="G22" i="2"/>
  <c r="F33" i="13"/>
  <c r="C39" i="10"/>
  <c r="F193" i="1"/>
  <c r="G627" i="1" s="1"/>
  <c r="J627" i="1" s="1"/>
  <c r="G8" i="2"/>
  <c r="H193" i="1"/>
  <c r="G629" i="1"/>
  <c r="J629" i="1" s="1"/>
  <c r="H468" i="1"/>
  <c r="H629" i="1"/>
  <c r="H470" i="1"/>
  <c r="I545" i="1"/>
  <c r="H545" i="1"/>
  <c r="F545" i="1"/>
  <c r="F552" i="1"/>
  <c r="L524" i="1"/>
  <c r="L545" i="1" s="1"/>
  <c r="A13" i="12"/>
  <c r="A22" i="12"/>
  <c r="H661" i="1"/>
  <c r="G661" i="1"/>
  <c r="G664" i="1" s="1"/>
  <c r="D29" i="13"/>
  <c r="C29" i="13" s="1"/>
  <c r="D127" i="2"/>
  <c r="D128" i="2" s="1"/>
  <c r="D145" i="2" s="1"/>
  <c r="F661" i="1"/>
  <c r="L362" i="1"/>
  <c r="H211" i="1"/>
  <c r="F211" i="1"/>
  <c r="F257" i="1" s="1"/>
  <c r="F271" i="1" s="1"/>
  <c r="L204" i="1"/>
  <c r="C120" i="2"/>
  <c r="D12" i="13"/>
  <c r="C12" i="13" s="1"/>
  <c r="C121" i="2"/>
  <c r="C18" i="10"/>
  <c r="E8" i="13"/>
  <c r="D7" i="13"/>
  <c r="C7" i="13" s="1"/>
  <c r="C16" i="10"/>
  <c r="L202" i="1"/>
  <c r="C15" i="10" s="1"/>
  <c r="H257" i="1"/>
  <c r="H271" i="1" s="1"/>
  <c r="C10" i="10"/>
  <c r="C110" i="2"/>
  <c r="D14" i="13"/>
  <c r="C20" i="10"/>
  <c r="C123" i="2"/>
  <c r="G472" i="1"/>
  <c r="C27" i="10"/>
  <c r="G635" i="1"/>
  <c r="I661" i="1"/>
  <c r="C17" i="10"/>
  <c r="E33" i="13"/>
  <c r="D35" i="13" s="1"/>
  <c r="C8" i="13"/>
  <c r="C118" i="2"/>
  <c r="C14" i="13"/>
  <c r="G474" i="1"/>
  <c r="H635" i="1"/>
  <c r="J635" i="1" s="1"/>
  <c r="J552" i="1"/>
  <c r="K549" i="1"/>
  <c r="F104" i="2" l="1"/>
  <c r="G460" i="1"/>
  <c r="G461" i="1" s="1"/>
  <c r="H640" i="1" s="1"/>
  <c r="I459" i="1"/>
  <c r="F663" i="1"/>
  <c r="I663" i="1" s="1"/>
  <c r="H605" i="1"/>
  <c r="K604" i="1"/>
  <c r="K605" i="1" s="1"/>
  <c r="G648" i="1" s="1"/>
  <c r="F51" i="1"/>
  <c r="C45" i="2"/>
  <c r="C50" i="2" s="1"/>
  <c r="C138" i="2"/>
  <c r="C141" i="2" s="1"/>
  <c r="L408" i="1"/>
  <c r="C39" i="12"/>
  <c r="C40" i="12" s="1"/>
  <c r="A40" i="12" s="1"/>
  <c r="H660" i="1"/>
  <c r="H664" i="1" s="1"/>
  <c r="L571" i="1"/>
  <c r="C144" i="2"/>
  <c r="G193" i="1"/>
  <c r="C38" i="10"/>
  <c r="C36" i="10"/>
  <c r="G646" i="1"/>
  <c r="G631" i="1"/>
  <c r="H647" i="1"/>
  <c r="J647" i="1" s="1"/>
  <c r="D15" i="13"/>
  <c r="C15" i="13" s="1"/>
  <c r="F662" i="1"/>
  <c r="I662" i="1" s="1"/>
  <c r="C21" i="10"/>
  <c r="G649" i="1"/>
  <c r="J649" i="1" s="1"/>
  <c r="C124" i="2"/>
  <c r="C128" i="2" s="1"/>
  <c r="C28" i="10"/>
  <c r="H631" i="1"/>
  <c r="J470" i="1"/>
  <c r="H637" i="1"/>
  <c r="H51" i="1"/>
  <c r="E47" i="2"/>
  <c r="E50" i="2" s="1"/>
  <c r="J643" i="1"/>
  <c r="G638" i="1"/>
  <c r="J472" i="1"/>
  <c r="H648" i="1"/>
  <c r="J271" i="1"/>
  <c r="F81" i="2"/>
  <c r="G23" i="2"/>
  <c r="G31" i="2" s="1"/>
  <c r="J32" i="1"/>
  <c r="I193" i="1"/>
  <c r="G630" i="1" s="1"/>
  <c r="J630" i="1" s="1"/>
  <c r="L338" i="1"/>
  <c r="L352" i="1" s="1"/>
  <c r="D31" i="13"/>
  <c r="C31" i="13" s="1"/>
  <c r="D5" i="13"/>
  <c r="L211" i="1"/>
  <c r="C109" i="2"/>
  <c r="C115" i="2" s="1"/>
  <c r="G672" i="1"/>
  <c r="G667" i="1"/>
  <c r="J640" i="1"/>
  <c r="G9" i="2"/>
  <c r="G18" i="2" s="1"/>
  <c r="J19" i="1"/>
  <c r="G621" i="1" s="1"/>
  <c r="K551" i="1"/>
  <c r="K552" i="1" s="1"/>
  <c r="E104" i="2"/>
  <c r="E115" i="2"/>
  <c r="E145" i="2" s="1"/>
  <c r="G617" i="1"/>
  <c r="G56" i="2"/>
  <c r="G63" i="2" s="1"/>
  <c r="G104" i="2" s="1"/>
  <c r="D6" i="13"/>
  <c r="C6" i="13" s="1"/>
  <c r="E31" i="2"/>
  <c r="E51" i="2" s="1"/>
  <c r="C31" i="2"/>
  <c r="D51" i="2"/>
  <c r="F144" i="2"/>
  <c r="F145" i="2" s="1"/>
  <c r="C51" i="2" l="1"/>
  <c r="C145" i="2"/>
  <c r="H638" i="1"/>
  <c r="J474" i="1"/>
  <c r="J476" i="1" s="1"/>
  <c r="H626" i="1" s="1"/>
  <c r="H472" i="1"/>
  <c r="G633" i="1"/>
  <c r="J638" i="1"/>
  <c r="H672" i="1"/>
  <c r="H667" i="1"/>
  <c r="G622" i="1"/>
  <c r="F52" i="1"/>
  <c r="H617" i="1" s="1"/>
  <c r="J617" i="1" s="1"/>
  <c r="J48" i="1"/>
  <c r="I460" i="1"/>
  <c r="I461" i="1" s="1"/>
  <c r="H642" i="1" s="1"/>
  <c r="J642" i="1" s="1"/>
  <c r="C5" i="13"/>
  <c r="D33" i="13"/>
  <c r="D36" i="13" s="1"/>
  <c r="H646" i="1"/>
  <c r="J646" i="1" s="1"/>
  <c r="G637" i="1"/>
  <c r="J637" i="1" s="1"/>
  <c r="J648" i="1"/>
  <c r="H52" i="1"/>
  <c r="H619" i="1" s="1"/>
  <c r="J619" i="1" s="1"/>
  <c r="G624" i="1"/>
  <c r="D20" i="10"/>
  <c r="D22" i="10"/>
  <c r="D25" i="10"/>
  <c r="D24" i="10"/>
  <c r="D12" i="10"/>
  <c r="D18" i="10"/>
  <c r="D13" i="10"/>
  <c r="D19" i="10"/>
  <c r="C30" i="10"/>
  <c r="D26" i="10"/>
  <c r="D27" i="10"/>
  <c r="D11" i="10"/>
  <c r="D23" i="10"/>
  <c r="D16" i="10"/>
  <c r="L257" i="1"/>
  <c r="L271" i="1" s="1"/>
  <c r="F660" i="1"/>
  <c r="G468" i="1"/>
  <c r="G628" i="1"/>
  <c r="D10" i="10"/>
  <c r="D21" i="10"/>
  <c r="J631" i="1"/>
  <c r="C41" i="10"/>
  <c r="D17" i="10"/>
  <c r="D15" i="10"/>
  <c r="D28" i="10" l="1"/>
  <c r="F472" i="1"/>
  <c r="G632" i="1"/>
  <c r="J633" i="1"/>
  <c r="D40" i="10"/>
  <c r="D37" i="10"/>
  <c r="D39" i="10"/>
  <c r="D35" i="10"/>
  <c r="J628" i="1"/>
  <c r="D36" i="10"/>
  <c r="H633" i="1"/>
  <c r="H474" i="1"/>
  <c r="H476" i="1" s="1"/>
  <c r="H624" i="1" s="1"/>
  <c r="J624" i="1" s="1"/>
  <c r="F664" i="1"/>
  <c r="I660" i="1"/>
  <c r="I664" i="1" s="1"/>
  <c r="H628" i="1"/>
  <c r="G470" i="1"/>
  <c r="G476" i="1" s="1"/>
  <c r="H623" i="1" s="1"/>
  <c r="J623" i="1" s="1"/>
  <c r="G47" i="2"/>
  <c r="G50" i="2" s="1"/>
  <c r="G51" i="2" s="1"/>
  <c r="J51" i="1"/>
  <c r="D38" i="10"/>
  <c r="F672" i="1" l="1"/>
  <c r="C4" i="10" s="1"/>
  <c r="F667" i="1"/>
  <c r="J632" i="1"/>
  <c r="D41" i="10"/>
  <c r="F474" i="1"/>
  <c r="F476" i="1" s="1"/>
  <c r="H622" i="1" s="1"/>
  <c r="J622" i="1" s="1"/>
  <c r="H632" i="1"/>
  <c r="J52" i="1"/>
  <c r="H621" i="1" s="1"/>
  <c r="J621" i="1" s="1"/>
  <c r="G626" i="1"/>
  <c r="I672" i="1"/>
  <c r="C7" i="10" s="1"/>
  <c r="I667" i="1"/>
  <c r="J626" i="1" l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<sst xmlns="http://schemas.openxmlformats.org/spreadsheetml/2006/main" count="3961" uniqueCount="917">
  <si>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</si>
  <si>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</si>
  <si>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</si>
  <si>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</si>
  <si>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</si>
  <si>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</si>
  <si>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</si>
  <si>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</si>
  <si>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</si>
  <si>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</si>
  <si>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</si>
  <si>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</si>
  <si>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</si>
  <si>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</si>
  <si>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</si>
  <si>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</si>
  <si>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</si>
  <si>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</si>
  <si>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</si>
  <si>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</si>
  <si>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</si>
  <si>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</si>
  <si>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</si>
  <si>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</si>
  <si>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</si>
  <si>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</si>
  <si>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</si>
  <si>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</si>
  <si>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</si>
  <si>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</si>
  <si>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</si>
  <si>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</si>
  <si>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</si>
  <si>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</si>
  <si>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</si>
  <si>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</si>
  <si>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</si>
  <si>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</si>
  <si>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</si>
  <si>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</si>
  <si>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</si>
  <si>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</si>
  <si>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</si>
  <si>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</si>
  <si>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</si>
  <si>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</si>
  <si>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</si>
  <si>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</si>
  <si>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</si>
  <si>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</si>
  <si>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</si>
  <si>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</si>
  <si>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</si>
  <si>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</si>
  <si>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</si>
  <si>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</si>
  <si>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</si>
  <si>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</si>
  <si>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</si>
  <si>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</si>
  <si>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</si>
  <si>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</si>
  <si>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</si>
  <si>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</si>
  <si>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</si>
  <si>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</si>
  <si>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</si>
  <si>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</si>
  <si>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</si>
  <si>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</si>
  <si>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</si>
  <si>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</si>
  <si>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</si>
  <si>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</si>
  <si>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</si>
  <si>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</si>
  <si>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</si>
  <si>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</si>
  <si>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</si>
  <si>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</si>
  <si>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</si>
  <si>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</si>
  <si>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</si>
  <si>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</si>
  <si>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</si>
  <si>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</si>
  <si>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</si>
  <si>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</si>
  <si>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</si>
  <si>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</si>
  <si>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</si>
  <si>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</si>
  <si>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</si>
  <si>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</si>
  <si>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</si>
  <si>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</si>
  <si>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</si>
  <si>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</si>
  <si>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</si>
  <si>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</si>
  <si>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</si>
  <si>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</si>
  <si>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</si>
  <si>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</si>
  <si>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</si>
  <si>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</si>
  <si>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</si>
  <si>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</si>
  <si>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</si>
  <si>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</si>
  <si>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</si>
  <si>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</si>
  <si>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</si>
  <si>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</si>
  <si>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</si>
  <si>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</si>
  <si>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</si>
  <si>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</si>
  <si>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</si>
  <si>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</si>
  <si>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</si>
  <si>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</si>
  <si>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</si>
  <si>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</si>
  <si>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</si>
  <si>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</si>
  <si>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</si>
  <si>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</si>
  <si>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</si>
  <si>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</si>
  <si>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</si>
  <si>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</si>
  <si>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</si>
  <si>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</si>
  <si>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</si>
  <si>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</si>
  <si>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</si>
  <si>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</si>
  <si>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</si>
  <si>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</si>
  <si>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</si>
  <si>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</si>
  <si>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</si>
  <si>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</si>
  <si>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</si>
  <si>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</si>
  <si>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</si>
  <si>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</si>
  <si>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</si>
  <si>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</si>
  <si>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</si>
  <si>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</si>
  <si>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</si>
  <si>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</si>
  <si>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</si>
  <si>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</si>
  <si>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</si>
  <si>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</si>
  <si>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</si>
  <si>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</si>
  <si>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</si>
  <si>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</si>
  <si>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</si>
  <si>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</si>
  <si>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</si>
  <si>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</si>
  <si>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</si>
  <si>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</si>
  <si>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</si>
  <si>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</si>
  <si>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</si>
  <si>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</si>
  <si>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</si>
  <si>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</si>
  <si>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</si>
  <si>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</si>
  <si>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</si>
  <si>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</si>
  <si>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</si>
  <si>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</si>
  <si>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</si>
  <si>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</si>
  <si>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</si>
  <si>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</si>
  <si>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</si>
  <si>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</si>
  <si>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</si>
  <si>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</si>
  <si>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</si>
  <si>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</si>
  <si>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</si>
  <si>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</si>
  <si>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</si>
  <si>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</si>
  <si>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</si>
  <si>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</si>
  <si>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</si>
  <si>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</si>
  <si>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</si>
  <si>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</si>
  <si>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</si>
  <si>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</si>
  <si>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</si>
  <si>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</si>
  <si>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</si>
  <si>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</si>
  <si>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</si>
  <si>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</si>
  <si>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</si>
  <si>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</si>
  <si>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</si>
  <si>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</si>
  <si>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</si>
  <si>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</si>
  <si>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</si>
  <si>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</si>
  <si>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</si>
  <si>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</si>
  <si>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</si>
  <si>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</si>
  <si>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</si>
  <si>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</si>
  <si>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</si>
  <si>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</si>
  <si>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</si>
  <si>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</si>
  <si>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</si>
  <si>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</si>
  <si>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</si>
  <si>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</si>
  <si>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</si>
  <si>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</si>
  <si>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</si>
  <si>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</si>
  <si>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</si>
  <si>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</si>
  <si>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</si>
  <si>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</si>
  <si>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</si>
  <si>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</si>
  <si>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</si>
  <si>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</si>
  <si>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</si>
  <si>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</si>
  <si>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</si>
  <si>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</si>
  <si>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</si>
  <si>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</si>
  <si>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</si>
  <si>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</si>
  <si>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</si>
  <si>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</si>
  <si>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</si>
  <si>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</si>
  <si>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</si>
  <si>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</si>
  <si>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</si>
  <si>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</si>
  <si>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</si>
  <si>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</si>
  <si>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</si>
  <si>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</si>
  <si>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</si>
  <si>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</si>
  <si>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</si>
  <si>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</si>
  <si>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</si>
  <si>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</si>
  <si>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</si>
  <si>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</si>
  <si>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</si>
  <si>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</si>
  <si>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</si>
  <si>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</si>
  <si>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</si>
  <si>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</si>
  <si>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</si>
  <si>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</si>
  <si>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</si>
  <si>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</si>
  <si>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</si>
  <si>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</si>
  <si>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</si>
  <si>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</si>
  <si>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</si>
  <si>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</si>
  <si>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</si>
  <si>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</si>
  <si>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</si>
  <si>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</si>
  <si>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</si>
  <si>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</si>
  <si>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</si>
  <si>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</si>
  <si>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</si>
  <si>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</si>
  <si>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</si>
  <si>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</si>
  <si>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</si>
  <si>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</si>
  <si>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</si>
  <si>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</si>
  <si>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</si>
  <si>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</si>
  <si>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</si>
  <si>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</si>
  <si>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</si>
  <si>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</si>
  <si>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</si>
  <si>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</si>
  <si>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</si>
  <si>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</si>
  <si>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</si>
  <si>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</si>
  <si>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</si>
  <si>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</si>
  <si>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</si>
  <si>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</si>
  <si>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</si>
  <si>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</si>
  <si>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</si>
  <si>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</si>
  <si>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</si>
  <si>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</si>
  <si>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</si>
  <si>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</si>
  <si>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</si>
  <si>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</si>
  <si>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</si>
  <si>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</si>
  <si>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</si>
  <si>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</si>
  <si>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</si>
  <si>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</si>
  <si>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</si>
  <si>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</si>
  <si>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</si>
  <si>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</si>
  <si>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</si>
  <si>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</si>
  <si>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</si>
  <si>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</si>
  <si>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</si>
  <si>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</si>
  <si>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</si>
  <si>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</si>
  <si>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</si>
  <si>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</si>
  <si>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</si>
  <si>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</si>
  <si>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</si>
  <si>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</si>
  <si>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</si>
  <si>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</si>
  <si>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</si>
  <si>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</si>
  <si>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</si>
  <si>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</si>
  <si>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</si>
  <si>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</si>
  <si>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</si>
  <si>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</si>
  <si>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</si>
  <si>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</si>
  <si>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</si>
  <si>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</si>
  <si>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</si>
  <si>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</si>
  <si>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</si>
  <si>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</si>
  <si>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</si>
  <si>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</si>
  <si>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</si>
  <si>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</si>
  <si>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</si>
  <si>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</si>
  <si>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</si>
  <si>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</si>
  <si>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</si>
  <si>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</si>
  <si>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</si>
  <si>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</si>
  <si>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</si>
  <si>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</si>
  <si>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</si>
  <si>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</si>
  <si>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</si>
  <si>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</si>
  <si>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</si>
  <si>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</si>
  <si>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</si>
  <si>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</si>
  <si>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</si>
  <si>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</si>
  <si>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</si>
  <si>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</si>
  <si>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</si>
  <si>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</si>
  <si>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</si>
  <si>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</si>
  <si>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</si>
  <si>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</si>
  <si>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</si>
  <si>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</si>
  <si>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</si>
  <si>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</si>
  <si>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</si>
  <si>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</si>
  <si>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</si>
  <si>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</si>
  <si>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</si>
  <si>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</si>
  <si>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</si>
  <si>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</si>
  <si>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</si>
  <si>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</si>
  <si>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</si>
  <si>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</si>
  <si>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</si>
  <si>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</si>
  <si>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</si>
  <si>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</si>
  <si>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</si>
  <si>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</si>
  <si>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</si>
  <si>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</si>
  <si>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</si>
  <si>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</si>
  <si>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</si>
  <si>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</si>
  <si>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</si>
  <si>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</si>
  <si>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</si>
  <si>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</si>
  <si>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</si>
  <si>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</si>
  <si>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</si>
  <si>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</si>
  <si>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</si>
  <si>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</si>
  <si>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</si>
  <si>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</si>
  <si>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</si>
  <si>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</si>
  <si>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</si>
  <si>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</si>
  <si>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</si>
  <si>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</si>
  <si>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</si>
  <si>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</si>
  <si>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</si>
  <si>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</si>
  <si>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</si>
  <si>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</si>
  <si>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</si>
  <si>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</si>
  <si>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</si>
  <si>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</si>
  <si>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</si>
  <si>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</si>
  <si>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</si>
  <si>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</si>
  <si>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</si>
  <si>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</si>
  <si>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</si>
  <si>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</si>
  <si>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</si>
  <si>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</si>
  <si>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</si>
  <si>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</si>
  <si>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</si>
  <si>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</si>
  <si>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</si>
  <si>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</si>
  <si>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</si>
  <si>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</si>
  <si>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</si>
  <si>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</si>
  <si>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</si>
  <si>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</si>
  <si>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</si>
  <si>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</si>
  <si>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</si>
  <si>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</si>
  <si>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</si>
  <si>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</si>
  <si>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</si>
  <si>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</si>
  <si>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</si>
  <si>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</si>
  <si>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</si>
  <si>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</si>
  <si>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</si>
  <si>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</si>
  <si>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</si>
  <si>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</si>
  <si>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</si>
  <si>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</si>
  <si>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</si>
  <si>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</si>
  <si>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</si>
  <si>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</si>
  <si>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</si>
  <si>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</si>
  <si>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</si>
  <si>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</si>
  <si>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</si>
  <si>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</si>
  <si>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</si>
  <si>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</si>
  <si>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</si>
  <si>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</si>
  <si>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</si>
  <si>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</si>
  <si>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</si>
  <si>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</si>
  <si>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</si>
  <si>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</si>
  <si>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</si>
  <si>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</si>
  <si>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</si>
  <si>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</si>
  <si>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</si>
  <si>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</si>
  <si>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</si>
  <si>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</si>
  <si>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</si>
  <si>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</si>
  <si>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</si>
  <si>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</si>
  <si>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</si>
  <si>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</si>
  <si>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</si>
  <si>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</si>
  <si>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</si>
  <si>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</si>
  <si>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</si>
  <si>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</si>
  <si>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</si>
  <si>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</si>
  <si>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</si>
  <si>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</si>
  <si>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</si>
  <si>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</si>
  <si>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</si>
  <si>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</si>
  <si>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</si>
  <si>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</si>
  <si>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</si>
  <si>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</si>
  <si>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</si>
  <si>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</si>
  <si>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</si>
  <si>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</si>
  <si>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</si>
  <si>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</si>
  <si>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</si>
  <si>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</si>
  <si>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</si>
  <si>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</si>
  <si>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</si>
  <si>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</si>
  <si>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</si>
  <si>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</si>
  <si>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</si>
  <si>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</si>
  <si>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</si>
  <si>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</si>
  <si>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</si>
  <si>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</si>
  <si>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</si>
  <si>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</si>
  <si>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</si>
  <si>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</si>
  <si>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</si>
  <si>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</si>
  <si>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</si>
  <si>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</si>
  <si>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</si>
  <si>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</si>
  <si>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</si>
  <si>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</si>
  <si>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</si>
  <si>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</si>
  <si>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</si>
  <si>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</si>
  <si>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</si>
  <si>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</si>
  <si>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</si>
  <si>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</si>
  <si>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</si>
  <si>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</si>
  <si>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</si>
  <si>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</si>
  <si>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</si>
  <si>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</si>
  <si>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</si>
  <si>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</si>
  <si>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</si>
  <si>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</si>
  <si>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</si>
  <si>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</si>
  <si>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</si>
  <si>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</si>
  <si>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</si>
  <si>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</si>
  <si>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</si>
  <si>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</si>
  <si>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</si>
  <si>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</si>
  <si>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</si>
  <si>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</si>
  <si>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</si>
  <si>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</si>
  <si>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</si>
  <si>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</si>
  <si>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</si>
  <si>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</si>
  <si>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</si>
  <si>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</si>
  <si>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</si>
  <si>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</si>
  <si>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</si>
  <si>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</si>
  <si>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</si>
  <si>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</si>
  <si>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</si>
  <si>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</si>
  <si>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</si>
  <si>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</si>
  <si>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</si>
  <si>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</si>
  <si>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</si>
  <si>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</si>
  <si>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</si>
  <si>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</si>
  <si>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</si>
  <si>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</si>
  <si>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</si>
  <si>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</si>
  <si>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</si>
  <si>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</si>
  <si>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</si>
  <si>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</si>
  <si>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</si>
  <si>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</si>
  <si>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</si>
  <si>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</si>
  <si>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</si>
  <si>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</si>
  <si>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</si>
  <si>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</si>
  <si>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</si>
  <si>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</si>
  <si>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</si>
  <si>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</si>
  <si>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</si>
  <si>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</si>
  <si>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</si>
  <si>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</si>
  <si>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</si>
  <si>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</si>
  <si>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</si>
  <si>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</si>
  <si>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</si>
  <si>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</si>
  <si>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</si>
  <si>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</si>
  <si>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</si>
  <si>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</si>
  <si>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</si>
  <si>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</si>
  <si>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</si>
  <si>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</si>
  <si>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</si>
  <si>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</si>
  <si>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</si>
  <si>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</si>
  <si>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</si>
  <si>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</si>
  <si>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</si>
  <si>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</si>
  <si>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</si>
  <si>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</si>
  <si>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</si>
  <si>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</si>
  <si>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</si>
  <si>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</si>
  <si>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</si>
  <si>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</si>
  <si>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</si>
  <si>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</si>
  <si>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</si>
  <si>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</si>
  <si>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</si>
  <si>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</si>
  <si>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</si>
  <si>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</si>
  <si>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</si>
  <si>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</si>
  <si>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</si>
  <si>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</si>
  <si>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</si>
  <si>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</si>
  <si>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</si>
  <si>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</si>
  <si>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</si>
  <si>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</si>
  <si>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</si>
  <si>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</si>
  <si>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</si>
  <si>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</si>
  <si>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</si>
  <si>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</si>
  <si>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</si>
  <si>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</si>
  <si>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</si>
  <si>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</si>
  <si>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</si>
  <si>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</si>
  <si>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</si>
  <si>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</si>
  <si>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</si>
  <si>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</si>
  <si>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</si>
  <si>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</si>
  <si>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</si>
  <si>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</si>
  <si>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</si>
  <si>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</si>
  <si>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</si>
  <si>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</si>
  <si>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</si>
  <si>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</si>
  <si>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</si>
  <si>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</si>
  <si>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</si>
  <si>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</si>
  <si>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</si>
  <si>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</si>
  <si>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</si>
  <si>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</si>
  <si>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</si>
  <si>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</si>
  <si>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</si>
  <si>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</si>
  <si>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</si>
  <si>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</si>
  <si>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</si>
  <si>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</si>
  <si>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</si>
  <si>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</si>
  <si>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</si>
  <si>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</si>
  <si>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</si>
  <si>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</si>
  <si>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</si>
  <si>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</si>
  <si>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</si>
  <si>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</si>
  <si>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</si>
  <si>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</si>
  <si>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</si>
  <si>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</si>
  <si>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</si>
  <si>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</si>
  <si>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</si>
  <si>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</si>
  <si>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</si>
  <si>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</si>
  <si>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</si>
  <si>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</si>
  <si>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</si>
  <si>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</si>
  <si>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</si>
  <si>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</si>
  <si>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</si>
  <si>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</si>
  <si>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</si>
  <si>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</si>
  <si>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</si>
  <si>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</si>
  <si>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</si>
  <si>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</si>
  <si>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</si>
  <si>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</si>
  <si>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</si>
  <si>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</si>
  <si>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</si>
  <si>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</si>
  <si>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</si>
  <si>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</si>
  <si>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</si>
  <si>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</si>
  <si>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</si>
  <si>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</si>
  <si>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</si>
  <si>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</si>
  <si>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</si>
  <si>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</si>
  <si>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</si>
  <si>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</si>
  <si>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</si>
  <si>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</si>
  <si>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</si>
  <si>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</si>
  <si>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</si>
  <si>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</si>
  <si>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</si>
  <si>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</si>
  <si>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</si>
  <si>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</si>
  <si>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</si>
  <si>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</si>
  <si>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</si>
  <si>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</si>
  <si>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</si>
  <si>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</si>
  <si>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</si>
  <si>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</si>
  <si>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</si>
  <si>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</si>
  <si>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</si>
  <si>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</si>
  <si>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</si>
  <si>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</si>
  <si>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</si>
  <si>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</si>
  <si>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</si>
  <si>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</si>
  <si>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</si>
  <si>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</si>
  <si>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</si>
  <si>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</si>
  <si>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</si>
  <si>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</si>
  <si>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</si>
  <si>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</si>
  <si>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</si>
  <si>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</si>
  <si>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</si>
  <si>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</si>
  <si>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</si>
  <si>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</si>
  <si>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</si>
  <si>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</si>
  <si>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</si>
  <si>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</si>
  <si>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</si>
  <si>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</si>
  <si>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</si>
  <si>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</si>
  <si>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</si>
  <si>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</si>
  <si>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</si>
  <si>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</si>
  <si>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</si>
  <si>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</si>
  <si>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</si>
  <si>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</si>
  <si>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</si>
  <si>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</si>
  <si>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</si>
  <si>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</si>
  <si>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</si>
  <si>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</si>
  <si>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</si>
  <si>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</si>
  <si>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</si>
  <si>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</si>
  <si>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</si>
  <si>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</si>
  <si>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</si>
  <si>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</si>
  <si>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</si>
  <si>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</si>
  <si>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</si>
  <si>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</si>
  <si>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</si>
  <si>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</si>
  <si>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</si>
  <si>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</si>
  <si>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</si>
  <si>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</si>
  <si>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</si>
  <si>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</si>
  <si>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</si>
  <si>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</si>
  <si>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</si>
  <si>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</si>
  <si>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</si>
  <si>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</si>
  <si>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</si>
  <si>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</si>
  <si>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</si>
  <si>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</si>
  <si>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</si>
  <si>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</si>
  <si>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</si>
  <si>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</si>
  <si>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</si>
  <si>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</si>
  <si>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indexed="8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</si>
  <si>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</si>
  <si>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</si>
  <si>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</si>
  <si>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</si>
  <si>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</si>
  <si>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</si>
  <si>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</si>
  <si>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</si>
  <si>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</si>
  <si>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Plainfield School District</t>
  </si>
  <si>
    <t>12/10</t>
  </si>
  <si>
    <t>07/12</t>
  </si>
  <si>
    <t>08/22</t>
  </si>
  <si>
    <t>01/21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</si>
</sst>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4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441</v>
      </c>
      <c r="C2" s="21">
        <v>441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159894.58</f>
        <v>159894.57999999999</v>
      </c>
      <c r="G9" s="18">
        <v>0</v>
      </c>
      <c r="H9" s="18">
        <f>5295.93+23207.27</f>
        <v>28503.200000000001</v>
      </c>
      <c r="I9" s="18"/>
      <c r="J9" s="67">
        <f>SUM(I439)</f>
        <v>358095.56</v>
      </c>
      <c r="K9" s="24" t="s">
        <v>286</v>
      </c>
      <c r="L9" s="24" t="s">
        <v>286</v>
      </c>
      <c r="M9" s="8"/>
      <c r="N9" s="270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0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0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65703.55</v>
      </c>
      <c r="G12" s="18">
        <f>3034.33</f>
        <v>3034.33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0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1545.68</v>
      </c>
      <c r="G13" s="18">
        <v>3624.73</v>
      </c>
      <c r="H13" s="18">
        <f>216.21+0.4+47975.38+1000</f>
        <v>49191.99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0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11274.01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0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0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0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0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0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238417.82</v>
      </c>
      <c r="G19" s="41">
        <f>SUM(G9:G18)</f>
        <v>6659.0599999999995</v>
      </c>
      <c r="H19" s="41">
        <f>SUM(H9:H18)</f>
        <v>77695.19</v>
      </c>
      <c r="I19" s="41">
        <f>SUM(I9:I18)</f>
        <v>0</v>
      </c>
      <c r="J19" s="41">
        <f>SUM(J9:J18)</f>
        <v>358095.56</v>
      </c>
      <c r="K19" s="45" t="s">
        <v>286</v>
      </c>
      <c r="L19" s="45" t="s">
        <v>286</v>
      </c>
      <c r="M19" s="8"/>
      <c r="N19" s="270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0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>
        <f>5512.54-13.46+71172.74+1000-7033.78-1900.16</f>
        <v>68737.88</v>
      </c>
      <c r="I22" s="18"/>
      <c r="J22" s="67">
        <f>SUM(I448)</f>
        <v>42984.77</v>
      </c>
      <c r="K22" s="24" t="s">
        <v>286</v>
      </c>
      <c r="L22" s="24" t="s">
        <v>286</v>
      </c>
      <c r="M22" s="8"/>
      <c r="N22" s="270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4"/>
      <c r="G23" s="4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0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39167.54</v>
      </c>
      <c r="G24" s="18">
        <v>6659.06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0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0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0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0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0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71396.81</v>
      </c>
      <c r="G29" s="18"/>
      <c r="H29" s="18">
        <f>13.46+9.91</f>
        <v>23.37</v>
      </c>
      <c r="I29" s="18"/>
      <c r="J29" s="24" t="s">
        <v>286</v>
      </c>
      <c r="K29" s="24" t="s">
        <v>286</v>
      </c>
      <c r="L29" s="24" t="s">
        <v>286</v>
      </c>
      <c r="M29" s="8"/>
      <c r="N29" s="270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>
        <v>7033.78</v>
      </c>
      <c r="I30" s="18"/>
      <c r="J30" s="24" t="s">
        <v>286</v>
      </c>
      <c r="K30" s="24" t="s">
        <v>286</v>
      </c>
      <c r="L30" s="24" t="s">
        <v>286</v>
      </c>
      <c r="M30" s="8"/>
      <c r="N30" s="270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0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110564.35</v>
      </c>
      <c r="G32" s="41">
        <f>SUM(G22:G31)</f>
        <v>6659.06</v>
      </c>
      <c r="H32" s="41">
        <f>SUM(H22:H31)</f>
        <v>75795.03</v>
      </c>
      <c r="I32" s="41">
        <f>SUM(I22:I31)</f>
        <v>0</v>
      </c>
      <c r="J32" s="41">
        <f>SUM(J22:J31)</f>
        <v>42984.77</v>
      </c>
      <c r="K32" s="45" t="s">
        <v>286</v>
      </c>
      <c r="L32" s="45" t="s">
        <v>286</v>
      </c>
      <c r="M32" s="8"/>
      <c r="N32" s="270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0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0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0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0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0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0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0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0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0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0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0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0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0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0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0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0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f>H19-H32</f>
        <v>1900.1600000000035</v>
      </c>
      <c r="I48" s="18"/>
      <c r="J48" s="13">
        <f>SUM(I459)</f>
        <v>315110.78999999998</v>
      </c>
      <c r="K48" s="24" t="s">
        <v>286</v>
      </c>
      <c r="L48" s="24" t="s">
        <v>286</v>
      </c>
      <c r="M48" s="8"/>
      <c r="N48" s="270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3188.36</v>
      </c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124665.11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0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127853.47</v>
      </c>
      <c r="G51" s="41">
        <f>SUM(G35:G50)</f>
        <v>0</v>
      </c>
      <c r="H51" s="41">
        <f>SUM(H35:H50)</f>
        <v>1900.1600000000035</v>
      </c>
      <c r="I51" s="41">
        <f>SUM(I35:I50)</f>
        <v>0</v>
      </c>
      <c r="J51" s="41">
        <f>SUM(J35:J50)</f>
        <v>315110.78999999998</v>
      </c>
      <c r="K51" s="45" t="s">
        <v>286</v>
      </c>
      <c r="L51" s="45" t="s">
        <v>286</v>
      </c>
      <c r="N51" s="181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238417.82</v>
      </c>
      <c r="G52" s="41">
        <f>G51+G32</f>
        <v>6659.06</v>
      </c>
      <c r="H52" s="41">
        <f>H51+H32</f>
        <v>77695.19</v>
      </c>
      <c r="I52" s="41">
        <f>I51+I32</f>
        <v>0</v>
      </c>
      <c r="J52" s="41">
        <f>J51+J32</f>
        <v>358095.56</v>
      </c>
      <c r="K52" s="45" t="s">
        <v>286</v>
      </c>
      <c r="L52" s="45" t="s">
        <v>286</v>
      </c>
      <c r="M52" s="8"/>
      <c r="N52" s="270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0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0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0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0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4617329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0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0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1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4617329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1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0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0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0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0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1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0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0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0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0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0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0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0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0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0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0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0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0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181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0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0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0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0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0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0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0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0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0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0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0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0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0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0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0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0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0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3577.3</v>
      </c>
      <c r="G96" s="18"/>
      <c r="H96" s="18"/>
      <c r="I96" s="18"/>
      <c r="J96" s="18">
        <v>1036.8699999999999</v>
      </c>
      <c r="K96" s="24" t="s">
        <v>286</v>
      </c>
      <c r="L96" s="24" t="s">
        <v>286</v>
      </c>
      <c r="M96" s="8"/>
      <c r="N96" s="270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29876.85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0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0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0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0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0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500</v>
      </c>
      <c r="G102" s="18"/>
      <c r="H102" s="18">
        <f>4850</f>
        <v>4850</v>
      </c>
      <c r="I102" s="18"/>
      <c r="J102" s="18"/>
      <c r="K102" s="24" t="s">
        <v>286</v>
      </c>
      <c r="L102" s="24" t="s">
        <v>286</v>
      </c>
      <c r="M102" s="8"/>
      <c r="N102" s="270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0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0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0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0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0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>
        <v>140936</v>
      </c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0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0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16785.05</v>
      </c>
      <c r="G110" s="18"/>
      <c r="H110" s="18">
        <v>1277.8900000000001</v>
      </c>
      <c r="I110" s="18"/>
      <c r="J110" s="18"/>
      <c r="K110" s="24" t="s">
        <v>286</v>
      </c>
      <c r="L110" s="24" t="s">
        <v>286</v>
      </c>
      <c r="M110" s="8"/>
      <c r="N110" s="270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161798.34999999998</v>
      </c>
      <c r="G111" s="41">
        <f>SUM(G96:G110)</f>
        <v>29876.85</v>
      </c>
      <c r="H111" s="41">
        <f>SUM(H96:H110)</f>
        <v>6127.89</v>
      </c>
      <c r="I111" s="41">
        <f>SUM(I96:I110)</f>
        <v>0</v>
      </c>
      <c r="J111" s="41">
        <f>SUM(J96:J110)</f>
        <v>1036.8699999999999</v>
      </c>
      <c r="K111" s="45" t="s">
        <v>286</v>
      </c>
      <c r="L111" s="45" t="s">
        <v>286</v>
      </c>
      <c r="N111" s="181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4779127.3499999996</v>
      </c>
      <c r="G112" s="41">
        <f>G60+G111</f>
        <v>29876.85</v>
      </c>
      <c r="H112" s="41">
        <f>H60+H79+H94+H111</f>
        <v>6127.89</v>
      </c>
      <c r="I112" s="41">
        <f>I60+I111</f>
        <v>0</v>
      </c>
      <c r="J112" s="41">
        <f>J60+J111</f>
        <v>1036.8699999999999</v>
      </c>
      <c r="K112" s="45" t="s">
        <v>286</v>
      </c>
      <c r="L112" s="45" t="s">
        <v>286</v>
      </c>
      <c r="M112" s="8"/>
      <c r="N112" s="270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0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0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0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0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627628.80000000005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0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610662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0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0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4006.17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0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1242296.97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0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0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9002.33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0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0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0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170393.53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0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0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0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0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0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0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433.39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0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0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0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179395.86</v>
      </c>
      <c r="G136" s="41">
        <f>SUM(G123:G135)</f>
        <v>433.39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0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0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0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0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1421692.83</v>
      </c>
      <c r="G140" s="41">
        <f>G121+SUM(G136:G137)</f>
        <v>433.39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0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0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0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0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0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0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0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0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0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0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v>5512.14</v>
      </c>
      <c r="I150" s="18"/>
      <c r="J150" s="24" t="s">
        <v>286</v>
      </c>
      <c r="K150" s="24" t="s">
        <v>286</v>
      </c>
      <c r="L150" s="24" t="s">
        <v>286</v>
      </c>
      <c r="M150" s="8"/>
      <c r="N150" s="270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0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0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0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0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3733.21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0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0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0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7331.31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0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58234.38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0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57676.27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0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0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57676.27</v>
      </c>
      <c r="G162" s="41">
        <f>SUM(G150:G161)</f>
        <v>7331.31</v>
      </c>
      <c r="H162" s="41">
        <f>SUM(H150:H161)</f>
        <v>67479.73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0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0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0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0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0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0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0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57676.27</v>
      </c>
      <c r="G169" s="41">
        <f>G147+G162+SUM(G163:G168)</f>
        <v>7331.31</v>
      </c>
      <c r="H169" s="41">
        <f>H147+H162+SUM(H163:H168)</f>
        <v>67479.73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0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0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0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0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0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0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0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0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0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0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30815.45</v>
      </c>
      <c r="H179" s="18"/>
      <c r="I179" s="18"/>
      <c r="J179" s="18">
        <v>50000</v>
      </c>
      <c r="K179" s="24" t="s">
        <v>286</v>
      </c>
      <c r="L179" s="24" t="s">
        <v>286</v>
      </c>
      <c r="M179" s="8"/>
      <c r="N179" s="270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0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0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0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30815.45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286</v>
      </c>
      <c r="L183" s="45" t="s">
        <v>286</v>
      </c>
      <c r="M183" s="8"/>
      <c r="N183" s="270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0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0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0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181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181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0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0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0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30815.45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286</v>
      </c>
      <c r="L192" s="45" t="s">
        <v>286</v>
      </c>
      <c r="M192" s="8"/>
      <c r="N192" s="270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6258496.4499999993</v>
      </c>
      <c r="G193" s="47">
        <f>G112+G140+G169+G192</f>
        <v>68457</v>
      </c>
      <c r="H193" s="47">
        <f>H112+H140+H169+H192</f>
        <v>73607.62</v>
      </c>
      <c r="I193" s="47">
        <f>I112+I140+I169+I192</f>
        <v>0</v>
      </c>
      <c r="J193" s="47">
        <f>J112+J140+J192</f>
        <v>51036.87</v>
      </c>
      <c r="K193" s="45" t="s">
        <v>286</v>
      </c>
      <c r="L193" s="45" t="s">
        <v>286</v>
      </c>
      <c r="M193" s="8"/>
      <c r="N193" s="270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0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0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1385291.26</v>
      </c>
      <c r="G197" s="18">
        <f>305032.36+30554.39+1250.08+103931.88+222717.52+24640.94</f>
        <v>688127.16999999993</v>
      </c>
      <c r="H197" s="18">
        <f>10366.22+264.5</f>
        <v>10630.72</v>
      </c>
      <c r="I197" s="18">
        <f>17767.87+9191.72+4094.93+7787.87-188.74</f>
        <v>38653.65</v>
      </c>
      <c r="J197" s="18">
        <f>725.91+1422</f>
        <v>2147.91</v>
      </c>
      <c r="K197" s="18">
        <f>11978.78</f>
        <v>11978.78</v>
      </c>
      <c r="L197" s="19">
        <f>SUM(F197:K197)</f>
        <v>2136829.4899999998</v>
      </c>
      <c r="M197" s="8"/>
      <c r="N197" s="270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110292+221652.82+5697.42+20866.16</f>
        <v>358508.39999999997</v>
      </c>
      <c r="G198" s="18">
        <f>202321.11+17019.02+27143.91+19812.13+2785.09</f>
        <v>269081.26</v>
      </c>
      <c r="H198" s="18">
        <f>21187.04+1237.4+5362.5+33468.75+74385.65+855+2853.58+4566.76+297+367248.95+532.86+207.9</f>
        <v>512203.39</v>
      </c>
      <c r="I198" s="18">
        <v>2542.87</v>
      </c>
      <c r="J198" s="18">
        <v>464.99</v>
      </c>
      <c r="K198" s="18">
        <v>1520</v>
      </c>
      <c r="L198" s="19">
        <f>SUM(F198:K198)</f>
        <v>1144320.9099999999</v>
      </c>
      <c r="M198" s="8"/>
      <c r="N198" s="270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18460+6700+5810</f>
        <v>30970</v>
      </c>
      <c r="G200" s="18">
        <f>1865.34+2269.94</f>
        <v>4135.28</v>
      </c>
      <c r="H200" s="18"/>
      <c r="I200" s="18">
        <v>3896.09</v>
      </c>
      <c r="J200" s="18"/>
      <c r="K200" s="18">
        <v>495</v>
      </c>
      <c r="L200" s="19">
        <f>SUM(F200:K200)</f>
        <v>39496.369999999995</v>
      </c>
      <c r="M200" s="8"/>
      <c r="N200" s="270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0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48213+52382.99</f>
        <v>100595.98999999999</v>
      </c>
      <c r="G202" s="18">
        <f>22045.9+2398.26+3514.97+8369.66+8041.28+709.48+3927.28+9093.8</f>
        <v>58100.630000000005</v>
      </c>
      <c r="H202" s="18">
        <f>4163.85+34752.37</f>
        <v>38916.22</v>
      </c>
      <c r="I202" s="18">
        <f>296.26+467.4+46.96+379.75+1506.09</f>
        <v>2696.46</v>
      </c>
      <c r="J202" s="18">
        <f>1313.56+4693.45+21059.03</f>
        <v>27066.04</v>
      </c>
      <c r="K202" s="18">
        <v>129</v>
      </c>
      <c r="L202" s="19">
        <f t="shared" ref="L202:L208" si="0">SUM(F202:K202)</f>
        <v>227504.34</v>
      </c>
      <c r="M202" s="8"/>
      <c r="N202" s="270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5436.08+2556.11+6411.2+49818+22436.15</f>
        <v>86657.540000000008</v>
      </c>
      <c r="G203" s="18">
        <f>1038.53+1403.3+7587.66+862.79+5522.29+1603.97+924.38</f>
        <v>18942.920000000002</v>
      </c>
      <c r="H203" s="18">
        <f>12022.95+1195.04+3000+9019.03+88.17+1175</f>
        <v>26500.190000000002</v>
      </c>
      <c r="I203" s="18">
        <f>68.19+110.6+219.97+7142.38</f>
        <v>7541.14</v>
      </c>
      <c r="J203" s="18">
        <f>594.49</f>
        <v>594.49</v>
      </c>
      <c r="K203" s="18">
        <v>315</v>
      </c>
      <c r="L203" s="19">
        <f t="shared" si="0"/>
        <v>140551.28000000003</v>
      </c>
      <c r="M203" s="8"/>
      <c r="N203" s="270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1550+500+1830+291995.25</f>
        <v>295875.25</v>
      </c>
      <c r="G204" s="18">
        <f>31364.42+1546.34-18.12-35.88+21061.87+20180.9+3680.04</f>
        <v>77779.569999999992</v>
      </c>
      <c r="H204" s="18">
        <f>5889.34+9500+4316.96+231+10172.28+1623.71+3063.52+1768.33+2650</f>
        <v>39215.14</v>
      </c>
      <c r="I204" s="18">
        <f>469+3433.44</f>
        <v>3902.44</v>
      </c>
      <c r="J204" s="18">
        <f>119</f>
        <v>119</v>
      </c>
      <c r="K204" s="18">
        <f>3446.18+963.73+5306.59+296.67</f>
        <v>10013.17</v>
      </c>
      <c r="L204" s="19">
        <f t="shared" si="0"/>
        <v>426904.57</v>
      </c>
      <c r="M204" s="8"/>
      <c r="N204" s="270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85000+62394.15</f>
        <v>147394.15</v>
      </c>
      <c r="G205" s="18">
        <f>5987.77+11975.79-1168.86+3474.8+6628.03+57384.54+5033.67-16.58-32.96+10602.36+19377.13+751.14</f>
        <v>119996.83</v>
      </c>
      <c r="H205" s="18">
        <f>4307.45+1354.42+2397.26+469.44+388.41</f>
        <v>8916.98</v>
      </c>
      <c r="I205" s="18">
        <v>1179.74</v>
      </c>
      <c r="J205" s="18">
        <v>598.99</v>
      </c>
      <c r="K205" s="18">
        <v>2427.86</v>
      </c>
      <c r="L205" s="19">
        <f t="shared" si="0"/>
        <v>280514.54999999993</v>
      </c>
      <c r="M205" s="8"/>
      <c r="N205" s="270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84160.27+8726.75+857.15</f>
        <v>93744.17</v>
      </c>
      <c r="G207" s="18">
        <f>13733.24+705.44-12.46-24.69+721.2+7126.41+9653.13+10687</f>
        <v>42589.27</v>
      </c>
      <c r="H207" s="18">
        <f>35937.39+6600+7100+92048.32+13160+330.46</f>
        <v>155176.17000000001</v>
      </c>
      <c r="I207" s="18">
        <f>19479.01+27406.91+9897.45</f>
        <v>56783.369999999995</v>
      </c>
      <c r="J207" s="18">
        <v>2968.09</v>
      </c>
      <c r="K207" s="18">
        <v>390</v>
      </c>
      <c r="L207" s="19">
        <f t="shared" si="0"/>
        <v>351651.07</v>
      </c>
      <c r="M207" s="8"/>
      <c r="N207" s="270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41779.01+8420.81+1995.19+178273-H244</f>
        <v>182334.30000000002</v>
      </c>
      <c r="I208" s="18"/>
      <c r="J208" s="18"/>
      <c r="K208" s="18"/>
      <c r="L208" s="19">
        <f t="shared" si="0"/>
        <v>182334.30000000002</v>
      </c>
      <c r="M208" s="8"/>
      <c r="N208" s="270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0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2499036.7599999998</v>
      </c>
      <c r="G211" s="41">
        <f t="shared" si="1"/>
        <v>1278752.9300000002</v>
      </c>
      <c r="H211" s="41">
        <f t="shared" si="1"/>
        <v>973893.1100000001</v>
      </c>
      <c r="I211" s="41">
        <f t="shared" si="1"/>
        <v>117195.76</v>
      </c>
      <c r="J211" s="41">
        <f t="shared" si="1"/>
        <v>33959.510000000009</v>
      </c>
      <c r="K211" s="41">
        <f t="shared" si="1"/>
        <v>27268.81</v>
      </c>
      <c r="L211" s="41">
        <f t="shared" si="1"/>
        <v>4930106.88</v>
      </c>
      <c r="M211" s="8"/>
      <c r="N211" s="270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0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0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0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0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0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0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0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0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0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0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f>1099027.27+8995</f>
        <v>1108022.27</v>
      </c>
      <c r="I233" s="18"/>
      <c r="J233" s="18"/>
      <c r="K233" s="18"/>
      <c r="L233" s="19">
        <f>SUM(F233:K233)</f>
        <v>1108022.27</v>
      </c>
      <c r="M233" s="8"/>
      <c r="N233" s="270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34140</v>
      </c>
      <c r="I234" s="18"/>
      <c r="J234" s="18"/>
      <c r="K234" s="18"/>
      <c r="L234" s="19">
        <f>SUM(F234:K234)</f>
        <v>34140</v>
      </c>
      <c r="M234" s="8"/>
      <c r="N234" s="270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0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0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0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48133.71</v>
      </c>
      <c r="I244" s="18"/>
      <c r="J244" s="18"/>
      <c r="K244" s="18"/>
      <c r="L244" s="19">
        <f t="shared" si="4"/>
        <v>48133.71</v>
      </c>
      <c r="M244" s="8"/>
      <c r="N244" s="270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0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1190295.98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1190295.98</v>
      </c>
      <c r="M247" s="8"/>
      <c r="N247" s="270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0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2499036.7599999998</v>
      </c>
      <c r="G257" s="41">
        <f t="shared" si="8"/>
        <v>1278752.9300000002</v>
      </c>
      <c r="H257" s="41">
        <f t="shared" si="8"/>
        <v>2164189.09</v>
      </c>
      <c r="I257" s="41">
        <f t="shared" si="8"/>
        <v>117195.76</v>
      </c>
      <c r="J257" s="41">
        <f t="shared" si="8"/>
        <v>33959.510000000009</v>
      </c>
      <c r="K257" s="41">
        <f t="shared" si="8"/>
        <v>27268.81</v>
      </c>
      <c r="L257" s="41">
        <f t="shared" si="8"/>
        <v>6120402.8599999994</v>
      </c>
      <c r="M257" s="8"/>
      <c r="N257" s="270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0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0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85000</v>
      </c>
      <c r="L260" s="19">
        <f>SUM(F260:K260)</f>
        <v>85000</v>
      </c>
      <c r="M260" s="8"/>
      <c r="N260" s="270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15262.5</v>
      </c>
      <c r="L261" s="19">
        <f>SUM(F261:K261)</f>
        <v>15262.5</v>
      </c>
      <c r="N261" s="181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181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30815.45</v>
      </c>
      <c r="L263" s="19">
        <f>SUM(F263:K263)</f>
        <v>30815.45</v>
      </c>
      <c r="N263" s="181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181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181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50000</v>
      </c>
      <c r="L266" s="19">
        <f t="shared" si="9"/>
        <v>50000</v>
      </c>
      <c r="N266" s="181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181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181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181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181077.95</v>
      </c>
      <c r="L270" s="41">
        <f t="shared" si="9"/>
        <v>181077.95</v>
      </c>
      <c r="N270" s="181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2499036.7599999998</v>
      </c>
      <c r="G271" s="42">
        <f t="shared" si="11"/>
        <v>1278752.9300000002</v>
      </c>
      <c r="H271" s="42">
        <f t="shared" si="11"/>
        <v>2164189.09</v>
      </c>
      <c r="I271" s="42">
        <f t="shared" si="11"/>
        <v>117195.76</v>
      </c>
      <c r="J271" s="42">
        <f t="shared" si="11"/>
        <v>33959.510000000009</v>
      </c>
      <c r="K271" s="42">
        <f t="shared" si="11"/>
        <v>208346.76</v>
      </c>
      <c r="L271" s="42">
        <f t="shared" si="11"/>
        <v>6301480.8099999996</v>
      </c>
      <c r="M271" s="8"/>
      <c r="N271" s="270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0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0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4682.34+3733.21</f>
        <v>8415.5499999999993</v>
      </c>
      <c r="G276" s="18">
        <v>829.8</v>
      </c>
      <c r="H276" s="18">
        <f>29412.81</f>
        <v>29412.81</v>
      </c>
      <c r="I276" s="18"/>
      <c r="J276" s="18">
        <v>1277.8900000000001</v>
      </c>
      <c r="K276" s="18"/>
      <c r="L276" s="19">
        <f>SUM(F276:K276)</f>
        <v>39936.050000000003</v>
      </c>
      <c r="M276" s="8"/>
      <c r="N276" s="270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f>14114.38</f>
        <v>14114.38</v>
      </c>
      <c r="G277" s="18"/>
      <c r="H277" s="18">
        <f>900+28140+13759+1000</f>
        <v>43799</v>
      </c>
      <c r="I277" s="18">
        <f>321</f>
        <v>321</v>
      </c>
      <c r="J277" s="18"/>
      <c r="K277" s="18"/>
      <c r="L277" s="19">
        <f>SUM(F277:K277)</f>
        <v>58234.38</v>
      </c>
      <c r="M277" s="8"/>
      <c r="N277" s="270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0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0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0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22529.93</v>
      </c>
      <c r="G290" s="42">
        <f t="shared" si="13"/>
        <v>829.8</v>
      </c>
      <c r="H290" s="42">
        <f t="shared" si="13"/>
        <v>73211.81</v>
      </c>
      <c r="I290" s="42">
        <f t="shared" si="13"/>
        <v>321</v>
      </c>
      <c r="J290" s="42">
        <f t="shared" si="13"/>
        <v>1277.8900000000001</v>
      </c>
      <c r="K290" s="42">
        <f t="shared" si="13"/>
        <v>0</v>
      </c>
      <c r="L290" s="41">
        <f t="shared" si="13"/>
        <v>98170.43</v>
      </c>
      <c r="M290" s="8"/>
      <c r="N290" s="270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0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0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0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0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181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0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0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0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0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0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22529.93</v>
      </c>
      <c r="G338" s="41">
        <f t="shared" si="20"/>
        <v>829.8</v>
      </c>
      <c r="H338" s="41">
        <f t="shared" si="20"/>
        <v>73211.81</v>
      </c>
      <c r="I338" s="41">
        <f t="shared" si="20"/>
        <v>321</v>
      </c>
      <c r="J338" s="41">
        <f t="shared" si="20"/>
        <v>1277.8900000000001</v>
      </c>
      <c r="K338" s="41">
        <f t="shared" si="20"/>
        <v>0</v>
      </c>
      <c r="L338" s="41">
        <f t="shared" si="20"/>
        <v>98170.43</v>
      </c>
      <c r="M338" s="8"/>
      <c r="N338" s="270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0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0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0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0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0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0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0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0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0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22529.93</v>
      </c>
      <c r="G352" s="41">
        <f>G338</f>
        <v>829.8</v>
      </c>
      <c r="H352" s="41">
        <f>H338</f>
        <v>73211.81</v>
      </c>
      <c r="I352" s="41">
        <f>I338</f>
        <v>321</v>
      </c>
      <c r="J352" s="41">
        <f>J338</f>
        <v>1277.8900000000001</v>
      </c>
      <c r="K352" s="47">
        <f>K338+K351</f>
        <v>0</v>
      </c>
      <c r="L352" s="41">
        <f>L338+L351</f>
        <v>98170.43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0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0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0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326.04000000000002</v>
      </c>
      <c r="G358" s="18">
        <v>24.94</v>
      </c>
      <c r="H358" s="18">
        <f>48883.9+7958.65-1296.36</f>
        <v>55546.19</v>
      </c>
      <c r="I358" s="18">
        <v>368.65</v>
      </c>
      <c r="J358" s="18">
        <v>12083.18</v>
      </c>
      <c r="K358" s="18">
        <v>108</v>
      </c>
      <c r="L358" s="13">
        <f>SUM(F358:K358)</f>
        <v>68457</v>
      </c>
      <c r="N358" s="181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0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0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326.04000000000002</v>
      </c>
      <c r="G362" s="47">
        <f t="shared" si="22"/>
        <v>24.94</v>
      </c>
      <c r="H362" s="47">
        <f t="shared" si="22"/>
        <v>55546.19</v>
      </c>
      <c r="I362" s="47">
        <f t="shared" si="22"/>
        <v>368.65</v>
      </c>
      <c r="J362" s="47">
        <f t="shared" si="22"/>
        <v>12083.18</v>
      </c>
      <c r="K362" s="47">
        <f t="shared" si="22"/>
        <v>108</v>
      </c>
      <c r="L362" s="47">
        <f t="shared" si="22"/>
        <v>68457</v>
      </c>
      <c r="M362" s="8"/>
      <c r="N362" s="270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0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0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0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368.65</v>
      </c>
      <c r="G368" s="63"/>
      <c r="H368" s="63"/>
      <c r="I368" s="56">
        <f>SUM(F368:H368)</f>
        <v>368.65</v>
      </c>
      <c r="J368" s="24" t="s">
        <v>286</v>
      </c>
      <c r="K368" s="24" t="s">
        <v>286</v>
      </c>
      <c r="L368" s="24" t="s">
        <v>286</v>
      </c>
      <c r="M368" s="8"/>
      <c r="N368" s="270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368.65</v>
      </c>
      <c r="G369" s="47">
        <f>SUM(G367:G368)</f>
        <v>0</v>
      </c>
      <c r="H369" s="47">
        <f>SUM(H367:H368)</f>
        <v>0</v>
      </c>
      <c r="I369" s="47">
        <f>SUM(I367:I368)</f>
        <v>368.65</v>
      </c>
      <c r="J369" s="24" t="s">
        <v>286</v>
      </c>
      <c r="K369" s="24" t="s">
        <v>286</v>
      </c>
      <c r="L369" s="24" t="s">
        <v>286</v>
      </c>
      <c r="M369" s="8"/>
      <c r="N369" s="270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0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0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0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0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0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0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0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0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0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0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0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0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0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>
        <v>181.85</v>
      </c>
      <c r="I395" s="18"/>
      <c r="J395" s="24" t="s">
        <v>286</v>
      </c>
      <c r="K395" s="24" t="s">
        <v>286</v>
      </c>
      <c r="L395" s="56">
        <f t="shared" ref="L395:L400" si="26">SUM(F395:K395)</f>
        <v>181.85</v>
      </c>
      <c r="M395" s="8"/>
      <c r="N395" s="270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47.27</v>
      </c>
      <c r="I396" s="18"/>
      <c r="J396" s="24" t="s">
        <v>286</v>
      </c>
      <c r="K396" s="24" t="s">
        <v>286</v>
      </c>
      <c r="L396" s="56">
        <f t="shared" si="26"/>
        <v>47.27</v>
      </c>
      <c r="M396" s="8"/>
      <c r="N396" s="270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50000</v>
      </c>
      <c r="H397" s="18">
        <v>807.75</v>
      </c>
      <c r="I397" s="18"/>
      <c r="J397" s="24" t="s">
        <v>286</v>
      </c>
      <c r="K397" s="24" t="s">
        <v>286</v>
      </c>
      <c r="L397" s="56">
        <f t="shared" si="26"/>
        <v>50807.75</v>
      </c>
      <c r="M397" s="8"/>
      <c r="N397" s="270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0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0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0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1036.8699999999999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51036.87</v>
      </c>
      <c r="M401" s="8"/>
      <c r="N401" s="270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0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0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0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0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0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0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1036.8699999999999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51036.87</v>
      </c>
      <c r="M408" s="8"/>
      <c r="N408" s="270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0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0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0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0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0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>
        <v>42984.77</v>
      </c>
      <c r="L423" s="56">
        <f t="shared" si="29"/>
        <v>42984.77</v>
      </c>
      <c r="M423" s="8"/>
      <c r="N423" s="270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42984.77</v>
      </c>
      <c r="L427" s="47">
        <f t="shared" si="30"/>
        <v>42984.77</v>
      </c>
      <c r="M427" s="8"/>
      <c r="N427" s="270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42984.77</v>
      </c>
      <c r="L434" s="47">
        <f t="shared" si="32"/>
        <v>42984.77</v>
      </c>
      <c r="M434" s="8"/>
      <c r="N434" s="270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0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28592.62</v>
      </c>
      <c r="G439" s="18">
        <v>329502.94</v>
      </c>
      <c r="H439" s="18"/>
      <c r="I439" s="56">
        <f t="shared" ref="I439:I445" si="33">SUM(F439:H439)</f>
        <v>358095.56</v>
      </c>
      <c r="J439" s="24" t="s">
        <v>286</v>
      </c>
      <c r="K439" s="24" t="s">
        <v>286</v>
      </c>
      <c r="L439" s="24" t="s">
        <v>286</v>
      </c>
      <c r="M439" s="8"/>
      <c r="N439" s="270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0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0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0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0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0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0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28592.62</v>
      </c>
      <c r="G446" s="13">
        <f>SUM(G439:G445)</f>
        <v>329502.94</v>
      </c>
      <c r="H446" s="13">
        <f>SUM(H439:H445)</f>
        <v>0</v>
      </c>
      <c r="I446" s="13">
        <f>SUM(I439:I445)</f>
        <v>358095.56</v>
      </c>
      <c r="J446" s="24" t="s">
        <v>286</v>
      </c>
      <c r="K446" s="24" t="s">
        <v>286</v>
      </c>
      <c r="L446" s="24" t="s">
        <v>286</v>
      </c>
      <c r="M446" s="8"/>
      <c r="N446" s="270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0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>
        <v>42984.77</v>
      </c>
      <c r="H448" s="18"/>
      <c r="I448" s="56">
        <f>SUM(F448:H448)</f>
        <v>42984.77</v>
      </c>
      <c r="J448" s="24" t="s">
        <v>286</v>
      </c>
      <c r="K448" s="24" t="s">
        <v>286</v>
      </c>
      <c r="L448" s="24" t="s">
        <v>286</v>
      </c>
      <c r="M448" s="8"/>
      <c r="N448" s="270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0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0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0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42984.77</v>
      </c>
      <c r="H452" s="72">
        <f>SUM(H448:H451)</f>
        <v>0</v>
      </c>
      <c r="I452" s="72">
        <f>SUM(I448:I451)</f>
        <v>42984.77</v>
      </c>
      <c r="J452" s="24" t="s">
        <v>286</v>
      </c>
      <c r="K452" s="24" t="s">
        <v>286</v>
      </c>
      <c r="L452" s="24" t="s">
        <v>286</v>
      </c>
      <c r="M452" s="8"/>
      <c r="N452" s="270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0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0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0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28592.62</v>
      </c>
      <c r="G459" s="18">
        <f>G446-G452</f>
        <v>286518.17</v>
      </c>
      <c r="H459" s="18"/>
      <c r="I459" s="56">
        <f t="shared" si="34"/>
        <v>315110.78999999998</v>
      </c>
      <c r="J459" s="24" t="s">
        <v>286</v>
      </c>
      <c r="K459" s="24" t="s">
        <v>286</v>
      </c>
      <c r="L459" s="24" t="s">
        <v>286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28592.62</v>
      </c>
      <c r="G460" s="83">
        <f>SUM(G454:G459)</f>
        <v>286518.17</v>
      </c>
      <c r="H460" s="83">
        <f>SUM(H454:H459)</f>
        <v>0</v>
      </c>
      <c r="I460" s="83">
        <f>SUM(I454:I459)</f>
        <v>315110.78999999998</v>
      </c>
      <c r="J460" s="24" t="s">
        <v>286</v>
      </c>
      <c r="K460" s="24" t="s">
        <v>286</v>
      </c>
      <c r="L460" s="24" t="s">
        <v>286</v>
      </c>
      <c r="N460" s="217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28592.62</v>
      </c>
      <c r="G461" s="42">
        <f>G452+G460</f>
        <v>329502.94</v>
      </c>
      <c r="H461" s="42">
        <f>H452+H460</f>
        <v>0</v>
      </c>
      <c r="I461" s="42">
        <f>I452+I460</f>
        <v>358095.56</v>
      </c>
      <c r="J461" s="24" t="s">
        <v>286</v>
      </c>
      <c r="K461" s="24" t="s">
        <v>286</v>
      </c>
      <c r="L461" s="24" t="s">
        <v>286</v>
      </c>
      <c r="N461" s="217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17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170837.83</v>
      </c>
      <c r="G465" s="18">
        <v>0</v>
      </c>
      <c r="H465" s="18">
        <f>26462.97</f>
        <v>26462.97</v>
      </c>
      <c r="I465" s="18"/>
      <c r="J465" s="18">
        <v>307058.69</v>
      </c>
      <c r="K465" s="24" t="s">
        <v>286</v>
      </c>
      <c r="L465" s="24" t="s">
        <v>286</v>
      </c>
      <c r="N465" s="217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17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17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6258496.4500000002</v>
      </c>
      <c r="G468" s="18">
        <f>G193</f>
        <v>68457</v>
      </c>
      <c r="H468" s="18">
        <f>H193</f>
        <v>73607.62</v>
      </c>
      <c r="I468" s="18"/>
      <c r="J468" s="18">
        <f>L401</f>
        <v>51036.87</v>
      </c>
      <c r="K468" s="24" t="s">
        <v>286</v>
      </c>
      <c r="L468" s="24" t="s">
        <v>286</v>
      </c>
      <c r="N468" s="217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>
        <v>0</v>
      </c>
      <c r="K469" s="24" t="s">
        <v>286</v>
      </c>
      <c r="L469" s="24" t="s">
        <v>286</v>
      </c>
      <c r="N469" s="217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6258496.4500000002</v>
      </c>
      <c r="G470" s="53">
        <f>SUM(G468:G469)</f>
        <v>68457</v>
      </c>
      <c r="H470" s="53">
        <f>SUM(H468:H469)</f>
        <v>73607.62</v>
      </c>
      <c r="I470" s="53">
        <f>SUM(I468:I469)</f>
        <v>0</v>
      </c>
      <c r="J470" s="53">
        <f>SUM(J468:J469)</f>
        <v>51036.87</v>
      </c>
      <c r="K470" s="24" t="s">
        <v>286</v>
      </c>
      <c r="L470" s="24" t="s">
        <v>286</v>
      </c>
      <c r="N470" s="217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17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6301480.8099999996</v>
      </c>
      <c r="G472" s="18">
        <f>L362</f>
        <v>68457</v>
      </c>
      <c r="H472" s="18">
        <f>L352</f>
        <v>98170.43</v>
      </c>
      <c r="I472" s="18"/>
      <c r="J472" s="18">
        <f>L434</f>
        <v>42984.77</v>
      </c>
      <c r="K472" s="24" t="s">
        <v>286</v>
      </c>
      <c r="L472" s="24" t="s">
        <v>286</v>
      </c>
      <c r="N472" s="217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17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6301480.8099999996</v>
      </c>
      <c r="G474" s="53">
        <f>SUM(G472:G473)</f>
        <v>68457</v>
      </c>
      <c r="H474" s="53">
        <f>SUM(H472:H473)</f>
        <v>98170.43</v>
      </c>
      <c r="I474" s="53">
        <f>SUM(I472:I473)</f>
        <v>0</v>
      </c>
      <c r="J474" s="53">
        <f>SUM(J472:J473)</f>
        <v>42984.77</v>
      </c>
      <c r="K474" s="24" t="s">
        <v>286</v>
      </c>
      <c r="L474" s="24" t="s">
        <v>286</v>
      </c>
      <c r="N474" s="217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17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127853.47000000067</v>
      </c>
      <c r="G476" s="53">
        <f>(G465+G470)- G474</f>
        <v>0</v>
      </c>
      <c r="H476" s="53">
        <f>(H465+H470)- H474</f>
        <v>1900.1600000000035</v>
      </c>
      <c r="I476" s="53">
        <f>(I465+I470)- I474</f>
        <v>0</v>
      </c>
      <c r="J476" s="53">
        <f>(J465+J470)- J474</f>
        <v>315110.78999999998</v>
      </c>
      <c r="K476" s="24" t="s">
        <v>286</v>
      </c>
      <c r="L476" s="24" t="s">
        <v>286</v>
      </c>
      <c r="N476" s="217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17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17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17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17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17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17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17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10</v>
      </c>
      <c r="G490" s="154">
        <v>10</v>
      </c>
      <c r="H490" s="154"/>
      <c r="I490" s="154"/>
      <c r="J490" s="154"/>
      <c r="K490" s="24" t="s">
        <v>286</v>
      </c>
      <c r="L490" s="24" t="s">
        <v>286</v>
      </c>
      <c r="N490" s="217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 t="s">
        <v>914</v>
      </c>
      <c r="H491" s="154"/>
      <c r="I491" s="154"/>
      <c r="J491" s="154"/>
      <c r="K491" s="24" t="s">
        <v>286</v>
      </c>
      <c r="L491" s="24" t="s">
        <v>286</v>
      </c>
      <c r="N491" s="217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916</v>
      </c>
      <c r="G492" s="155" t="s">
        <v>915</v>
      </c>
      <c r="H492" s="154"/>
      <c r="I492" s="154"/>
      <c r="J492" s="154"/>
      <c r="K492" s="24" t="s">
        <v>286</v>
      </c>
      <c r="L492" s="24" t="s">
        <v>286</v>
      </c>
      <c r="N492" s="217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314800</v>
      </c>
      <c r="G493" s="18">
        <v>543500</v>
      </c>
      <c r="H493" s="18"/>
      <c r="I493" s="18"/>
      <c r="J493" s="18"/>
      <c r="K493" s="24" t="s">
        <v>286</v>
      </c>
      <c r="L493" s="24" t="s">
        <v>286</v>
      </c>
      <c r="N493" s="217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3</v>
      </c>
      <c r="G494" s="18">
        <v>2.33</v>
      </c>
      <c r="H494" s="18"/>
      <c r="I494" s="18"/>
      <c r="J494" s="18"/>
      <c r="K494" s="24" t="s">
        <v>286</v>
      </c>
      <c r="L494" s="24" t="s">
        <v>286</v>
      </c>
      <c r="N494" s="217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120000</v>
      </c>
      <c r="G495" s="18">
        <v>320000</v>
      </c>
      <c r="H495" s="18"/>
      <c r="I495" s="18"/>
      <c r="J495" s="18"/>
      <c r="K495" s="53">
        <f>SUM(F495:J495)</f>
        <v>440000</v>
      </c>
      <c r="L495" s="24" t="s">
        <v>286</v>
      </c>
      <c r="N495" s="217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17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30000</v>
      </c>
      <c r="G497" s="18">
        <v>55000</v>
      </c>
      <c r="H497" s="18"/>
      <c r="I497" s="18"/>
      <c r="J497" s="18"/>
      <c r="K497" s="53">
        <f t="shared" si="35"/>
        <v>85000</v>
      </c>
      <c r="L497" s="24" t="s">
        <v>286</v>
      </c>
      <c r="N497" s="217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90000</v>
      </c>
      <c r="G498" s="204">
        <v>265000</v>
      </c>
      <c r="H498" s="204"/>
      <c r="I498" s="204"/>
      <c r="J498" s="204"/>
      <c r="K498" s="205">
        <f t="shared" si="35"/>
        <v>355000</v>
      </c>
      <c r="L498" s="206" t="s">
        <v>286</v>
      </c>
      <c r="N498" s="217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5400</v>
      </c>
      <c r="G499" s="18">
        <v>24868.75</v>
      </c>
      <c r="H499" s="18"/>
      <c r="I499" s="18"/>
      <c r="J499" s="18"/>
      <c r="K499" s="53">
        <f t="shared" si="35"/>
        <v>30268.75</v>
      </c>
      <c r="L499" s="24" t="s">
        <v>286</v>
      </c>
      <c r="N499" s="217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95400</v>
      </c>
      <c r="G500" s="42">
        <f>SUM(G498:G499)</f>
        <v>289868.75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385268.75</v>
      </c>
      <c r="L500" s="45" t="s">
        <v>286</v>
      </c>
      <c r="N500" s="217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30000</v>
      </c>
      <c r="G501" s="204">
        <v>55000</v>
      </c>
      <c r="H501" s="204"/>
      <c r="I501" s="204"/>
      <c r="J501" s="204"/>
      <c r="K501" s="205">
        <f t="shared" si="35"/>
        <v>85000</v>
      </c>
      <c r="L501" s="206" t="s">
        <v>286</v>
      </c>
      <c r="N501" s="217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3000</v>
      </c>
      <c r="G502" s="18">
        <v>8812.5</v>
      </c>
      <c r="H502" s="18"/>
      <c r="I502" s="18"/>
      <c r="J502" s="18"/>
      <c r="K502" s="53">
        <f t="shared" si="35"/>
        <v>11812.5</v>
      </c>
      <c r="L502" s="24" t="s">
        <v>286</v>
      </c>
      <c r="N502" s="217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33000</v>
      </c>
      <c r="G503" s="42">
        <f>SUM(G501:G502)</f>
        <v>63812.5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96812.5</v>
      </c>
      <c r="L503" s="45" t="s">
        <v>286</v>
      </c>
      <c r="N503" s="217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17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17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17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17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17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17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17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17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17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17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17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110292+221652.82+5697.42+20866.16+14114.38</f>
        <v>372622.77999999997</v>
      </c>
      <c r="G521" s="18">
        <f>202321.11+17019.02+27143.91+19812.13+2785.09</f>
        <v>269081.26</v>
      </c>
      <c r="H521" s="18">
        <f>21187.04+1237.4+5362.5+33468.75+74385.65+855+2853.58+367248.95+532.86+900+28140+13759+1000</f>
        <v>550930.73</v>
      </c>
      <c r="I521" s="18">
        <f>2542.87+321</f>
        <v>2863.87</v>
      </c>
      <c r="J521" s="18">
        <f>464.99</f>
        <v>464.99</v>
      </c>
      <c r="K521" s="18">
        <v>1520</v>
      </c>
      <c r="L521" s="88">
        <f>SUM(F521:K521)</f>
        <v>1197483.6300000001</v>
      </c>
      <c r="N521" s="217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f>34140</f>
        <v>34140</v>
      </c>
      <c r="I523" s="18"/>
      <c r="J523" s="18"/>
      <c r="K523" s="18"/>
      <c r="L523" s="88">
        <f>SUM(F523:K523)</f>
        <v>34140</v>
      </c>
      <c r="N523" s="217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372622.77999999997</v>
      </c>
      <c r="G524" s="108">
        <f t="shared" ref="G524:L524" si="36">SUM(G521:G523)</f>
        <v>269081.26</v>
      </c>
      <c r="H524" s="108">
        <f t="shared" si="36"/>
        <v>585070.73</v>
      </c>
      <c r="I524" s="108">
        <f t="shared" si="36"/>
        <v>2863.87</v>
      </c>
      <c r="J524" s="108">
        <f t="shared" si="36"/>
        <v>464.99</v>
      </c>
      <c r="K524" s="108">
        <f t="shared" si="36"/>
        <v>1520</v>
      </c>
      <c r="L524" s="89">
        <f t="shared" si="36"/>
        <v>1231623.6300000001</v>
      </c>
      <c r="N524" s="217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17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f>48213+52382.99</f>
        <v>100595.98999999999</v>
      </c>
      <c r="G526" s="18">
        <f>22045.9+2398.26+3514.97+8369.66+8041.28+709.48+3927.28+9093.8</f>
        <v>58100.630000000005</v>
      </c>
      <c r="H526" s="18">
        <f>4163.85+34752.37</f>
        <v>38916.22</v>
      </c>
      <c r="I526" s="18">
        <f>296.26+467.4+46.96+379.75+1506.09</f>
        <v>2696.46</v>
      </c>
      <c r="J526" s="18">
        <f>1313.56+4693.45+21059.03</f>
        <v>27066.04</v>
      </c>
      <c r="K526" s="18">
        <v>129</v>
      </c>
      <c r="L526" s="88">
        <f>SUM(F526:K526)</f>
        <v>227504.34</v>
      </c>
      <c r="M526" s="8"/>
      <c r="N526" s="270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0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100595.98999999999</v>
      </c>
      <c r="G529" s="89">
        <f t="shared" ref="G529:L529" si="37">SUM(G526:G528)</f>
        <v>58100.630000000005</v>
      </c>
      <c r="H529" s="89">
        <f t="shared" si="37"/>
        <v>38916.22</v>
      </c>
      <c r="I529" s="89">
        <f t="shared" si="37"/>
        <v>2696.46</v>
      </c>
      <c r="J529" s="89">
        <f t="shared" si="37"/>
        <v>27066.04</v>
      </c>
      <c r="K529" s="89">
        <f t="shared" si="37"/>
        <v>129</v>
      </c>
      <c r="L529" s="89">
        <f t="shared" si="37"/>
        <v>227504.34</v>
      </c>
      <c r="M529" s="8"/>
      <c r="N529" s="270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0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f>4566.76</f>
        <v>4566.76</v>
      </c>
      <c r="I531" s="18"/>
      <c r="J531" s="18"/>
      <c r="K531" s="18"/>
      <c r="L531" s="88">
        <f>SUM(F531:K531)</f>
        <v>4566.76</v>
      </c>
      <c r="M531" s="8"/>
      <c r="N531" s="270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0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4566.76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4566.76</v>
      </c>
      <c r="M534" s="8"/>
      <c r="N534" s="270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0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297</v>
      </c>
      <c r="I536" s="18"/>
      <c r="J536" s="18"/>
      <c r="K536" s="18"/>
      <c r="L536" s="88">
        <f>SUM(F536:K536)</f>
        <v>297</v>
      </c>
      <c r="M536" s="8"/>
      <c r="N536" s="270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297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297</v>
      </c>
      <c r="M539" s="8"/>
      <c r="N539" s="270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0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41779.01</v>
      </c>
      <c r="I541" s="18"/>
      <c r="J541" s="18"/>
      <c r="K541" s="18"/>
      <c r="L541" s="88">
        <f>SUM(F541:K541)</f>
        <v>41779.01</v>
      </c>
      <c r="M541" s="8"/>
      <c r="N541" s="270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0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41779.01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41779.01</v>
      </c>
      <c r="M544" s="8"/>
      <c r="N544" s="270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473218.76999999996</v>
      </c>
      <c r="G545" s="89">
        <f t="shared" ref="G545:L545" si="41">G524+G529+G534+G539+G544</f>
        <v>327181.89</v>
      </c>
      <c r="H545" s="89">
        <f t="shared" si="41"/>
        <v>670629.72</v>
      </c>
      <c r="I545" s="89">
        <f t="shared" si="41"/>
        <v>5560.33</v>
      </c>
      <c r="J545" s="89">
        <f t="shared" si="41"/>
        <v>27531.030000000002</v>
      </c>
      <c r="K545" s="89">
        <f t="shared" si="41"/>
        <v>1649</v>
      </c>
      <c r="L545" s="89">
        <f t="shared" si="41"/>
        <v>1505770.7400000002</v>
      </c>
      <c r="M545" s="8"/>
      <c r="N545" s="270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0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0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1197483.6300000001</v>
      </c>
      <c r="G549" s="87">
        <f>L526</f>
        <v>227504.34</v>
      </c>
      <c r="H549" s="87">
        <f>L531</f>
        <v>4566.76</v>
      </c>
      <c r="I549" s="87">
        <f>L536</f>
        <v>297</v>
      </c>
      <c r="J549" s="87">
        <f>L541</f>
        <v>41779.01</v>
      </c>
      <c r="K549" s="87">
        <f>SUM(F549:J549)</f>
        <v>1471630.7400000002</v>
      </c>
      <c r="L549" s="24" t="s">
        <v>286</v>
      </c>
      <c r="M549" s="8"/>
      <c r="N549" s="270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0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34140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34140</v>
      </c>
      <c r="L551" s="24" t="s">
        <v>286</v>
      </c>
      <c r="M551" s="8"/>
      <c r="N551" s="270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1231623.6300000001</v>
      </c>
      <c r="G552" s="89">
        <f t="shared" si="42"/>
        <v>227504.34</v>
      </c>
      <c r="H552" s="89">
        <f t="shared" si="42"/>
        <v>4566.76</v>
      </c>
      <c r="I552" s="89">
        <f t="shared" si="42"/>
        <v>297</v>
      </c>
      <c r="J552" s="89">
        <f t="shared" si="42"/>
        <v>41779.01</v>
      </c>
      <c r="K552" s="89">
        <f t="shared" si="42"/>
        <v>1505770.7400000002</v>
      </c>
      <c r="L552" s="24"/>
      <c r="M552" s="8"/>
      <c r="N552" s="270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0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0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0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0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0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1099027</v>
      </c>
      <c r="I575" s="87">
        <f>SUM(F575:H575)</f>
        <v>1099027</v>
      </c>
      <c r="J575" s="24" t="s">
        <v>286</v>
      </c>
      <c r="K575" s="24" t="s">
        <v>286</v>
      </c>
      <c r="L575" s="24" t="s">
        <v>286</v>
      </c>
      <c r="M575" s="8"/>
      <c r="N575" s="270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>
        <v>8995</v>
      </c>
      <c r="I576" s="87">
        <f t="shared" ref="I576:I587" si="47">SUM(F576:H576)</f>
        <v>8995</v>
      </c>
      <c r="J576" s="24" t="s">
        <v>286</v>
      </c>
      <c r="K576" s="24" t="s">
        <v>286</v>
      </c>
      <c r="L576" s="24" t="s">
        <v>286</v>
      </c>
      <c r="M576" s="8"/>
      <c r="N576" s="270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0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0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0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0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0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0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>
        <v>334584.2</v>
      </c>
      <c r="G583" s="18"/>
      <c r="H583" s="18">
        <v>34140.269999999997</v>
      </c>
      <c r="I583" s="87">
        <f t="shared" si="47"/>
        <v>368724.47000000003</v>
      </c>
      <c r="J583" s="24" t="s">
        <v>286</v>
      </c>
      <c r="K583" s="24" t="s">
        <v>286</v>
      </c>
      <c r="L583" s="24" t="s">
        <v>286</v>
      </c>
      <c r="M583" s="8"/>
      <c r="N583" s="270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0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0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0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0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130139.29</v>
      </c>
      <c r="I591" s="18"/>
      <c r="J591" s="18">
        <v>48133.71</v>
      </c>
      <c r="K591" s="104">
        <f t="shared" ref="K591:K597" si="48">SUM(H591:J591)</f>
        <v>178273</v>
      </c>
      <c r="L591" s="24" t="s">
        <v>286</v>
      </c>
      <c r="M591" s="8"/>
      <c r="N591" s="270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41779.01</v>
      </c>
      <c r="I592" s="18"/>
      <c r="J592" s="18"/>
      <c r="K592" s="104">
        <f t="shared" si="48"/>
        <v>41779.01</v>
      </c>
      <c r="L592" s="24" t="s">
        <v>286</v>
      </c>
      <c r="M592" s="8"/>
      <c r="N592" s="270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0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1995.19</v>
      </c>
      <c r="I594" s="18"/>
      <c r="J594" s="18"/>
      <c r="K594" s="104">
        <f t="shared" si="48"/>
        <v>1995.19</v>
      </c>
      <c r="L594" s="24" t="s">
        <v>286</v>
      </c>
      <c r="M594" s="8"/>
      <c r="N594" s="270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8420.81</v>
      </c>
      <c r="I595" s="18"/>
      <c r="J595" s="18"/>
      <c r="K595" s="104">
        <f t="shared" si="48"/>
        <v>8420.81</v>
      </c>
      <c r="L595" s="24" t="s">
        <v>286</v>
      </c>
      <c r="M595" s="8"/>
      <c r="N595" s="270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0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0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182334.3</v>
      </c>
      <c r="I598" s="108">
        <f>SUM(I591:I597)</f>
        <v>0</v>
      </c>
      <c r="J598" s="108">
        <f>SUM(J591:J597)</f>
        <v>48133.71</v>
      </c>
      <c r="K598" s="108">
        <f>SUM(K591:K597)</f>
        <v>230468.01</v>
      </c>
      <c r="L598" s="24" t="s">
        <v>286</v>
      </c>
      <c r="M598" s="8"/>
      <c r="N598" s="270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0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0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J211+J290</f>
        <v>35237.400000000009</v>
      </c>
      <c r="I604" s="18"/>
      <c r="J604" s="18"/>
      <c r="K604" s="104">
        <f>SUM(H604:J604)</f>
        <v>35237.400000000009</v>
      </c>
      <c r="L604" s="24" t="s">
        <v>286</v>
      </c>
      <c r="M604" s="8"/>
      <c r="N604" s="270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35237.400000000009</v>
      </c>
      <c r="I605" s="108">
        <f>SUM(I602:I604)</f>
        <v>0</v>
      </c>
      <c r="J605" s="108">
        <f>SUM(J602:J604)</f>
        <v>0</v>
      </c>
      <c r="K605" s="108">
        <f>SUM(K602:K604)</f>
        <v>35237.400000000009</v>
      </c>
      <c r="L605" s="24" t="s">
        <v>286</v>
      </c>
      <c r="M605" s="8"/>
      <c r="N605" s="270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0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0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238417.82</v>
      </c>
      <c r="H617" s="109">
        <f>SUM(F52)</f>
        <v>238417.82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6659.0599999999995</v>
      </c>
      <c r="H618" s="109">
        <f>SUM(G52)</f>
        <v>6659.06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77695.19</v>
      </c>
      <c r="H619" s="109">
        <f>SUM(H52)</f>
        <v>77695.19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358095.56</v>
      </c>
      <c r="H621" s="109">
        <f>SUM(J52)</f>
        <v>358095.56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127853.47</v>
      </c>
      <c r="H622" s="109">
        <f>F476</f>
        <v>127853.47000000067</v>
      </c>
      <c r="I622" s="121" t="s">
        <v>101</v>
      </c>
      <c r="J622" s="109">
        <f t="shared" ref="J622:J655" si="50">G622-H622</f>
        <v>-6.6938810050487518E-10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1900.1600000000035</v>
      </c>
      <c r="H624" s="109">
        <f>H476</f>
        <v>1900.1600000000035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315110.78999999998</v>
      </c>
      <c r="H626" s="109">
        <f>J476</f>
        <v>315110.78999999998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6258496.4499999993</v>
      </c>
      <c r="H627" s="104">
        <f>SUM(F468)</f>
        <v>6258496.4500000002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68457</v>
      </c>
      <c r="H628" s="104">
        <f>SUM(G468)</f>
        <v>68457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73607.62</v>
      </c>
      <c r="H629" s="104">
        <f>SUM(H468)</f>
        <v>73607.62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51036.87</v>
      </c>
      <c r="H631" s="104">
        <f>SUM(J468)</f>
        <v>51036.87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6301480.8099999996</v>
      </c>
      <c r="H632" s="104">
        <f>SUM(F472)</f>
        <v>6301480.8099999996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98170.43</v>
      </c>
      <c r="H633" s="104">
        <f>SUM(H472)</f>
        <v>98170.43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368.65</v>
      </c>
      <c r="H634" s="104">
        <f>I369</f>
        <v>368.65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68457</v>
      </c>
      <c r="H635" s="104">
        <f>SUM(G472)</f>
        <v>68457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51036.87</v>
      </c>
      <c r="H637" s="164">
        <f>SUM(J468)</f>
        <v>51036.87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42984.77</v>
      </c>
      <c r="H638" s="164">
        <f>SUM(J472)</f>
        <v>42984.77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28592.62</v>
      </c>
      <c r="H639" s="104">
        <f>SUM(F461)</f>
        <v>28592.62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329502.94</v>
      </c>
      <c r="H640" s="104">
        <f>SUM(G461)</f>
        <v>329502.94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358095.56</v>
      </c>
      <c r="H642" s="104">
        <f>SUM(I461)</f>
        <v>358095.56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1036.8699999999999</v>
      </c>
      <c r="H644" s="104">
        <f>H408</f>
        <v>1036.8699999999999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50000</v>
      </c>
      <c r="H645" s="104">
        <f>G408</f>
        <v>50000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51036.87</v>
      </c>
      <c r="H646" s="104">
        <f>L408</f>
        <v>51036.87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230468.01</v>
      </c>
      <c r="H647" s="104">
        <f>L208+L226+L244</f>
        <v>230468.01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35237.400000000009</v>
      </c>
      <c r="H648" s="104">
        <f>(J257+J338)-(J255+J336)</f>
        <v>35237.400000000009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182334.30000000002</v>
      </c>
      <c r="H649" s="104">
        <f>H598</f>
        <v>182334.3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48133.71</v>
      </c>
      <c r="H651" s="104">
        <f>J598</f>
        <v>48133.71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30815.45</v>
      </c>
      <c r="H652" s="104">
        <f>K263+K345</f>
        <v>30815.45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50000</v>
      </c>
      <c r="H655" s="104">
        <f>K266+K347</f>
        <v>50000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2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5096734.3099999996</v>
      </c>
      <c r="G660" s="19">
        <f>(L229+L309+L359)</f>
        <v>0</v>
      </c>
      <c r="H660" s="19">
        <f>(L247+L328+L360)</f>
        <v>1190295.98</v>
      </c>
      <c r="I660" s="19">
        <f>SUM(F660:H660)</f>
        <v>6287030.2899999991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29876.85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29876.85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182334.30000000002</v>
      </c>
      <c r="G662" s="19">
        <f>(L226+L306)-(J226+J306)</f>
        <v>0</v>
      </c>
      <c r="H662" s="19">
        <f>(L244+L325)-(J244+J325)</f>
        <v>48133.71</v>
      </c>
      <c r="I662" s="19">
        <f>SUM(F662:H662)</f>
        <v>230468.01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369821.60000000003</v>
      </c>
      <c r="G663" s="199">
        <f>SUM(G575:G587)+SUM(I602:I604)+L612</f>
        <v>0</v>
      </c>
      <c r="H663" s="199">
        <f>SUM(H575:H587)+SUM(J602:J604)+L613</f>
        <v>1142162.27</v>
      </c>
      <c r="I663" s="19">
        <f>SUM(F663:H663)</f>
        <v>1511983.87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4514701.5599999996</v>
      </c>
      <c r="G664" s="19">
        <f>G660-SUM(G661:G663)</f>
        <v>0</v>
      </c>
      <c r="H664" s="19">
        <f>H660-SUM(H661:H663)</f>
        <v>0</v>
      </c>
      <c r="I664" s="19">
        <f>I660-SUM(I661:I663)</f>
        <v>4514701.5599999987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203.31</v>
      </c>
      <c r="G665" s="248"/>
      <c r="H665" s="248"/>
      <c r="I665" s="19">
        <f>SUM(F665:H665)</f>
        <v>203.31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22206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22206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22206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22206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6" sqref="B16:C1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Plainfield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6" t="s">
        <v>778</v>
      </c>
      <c r="B3" s="276"/>
      <c r="C3" s="276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5" t="s">
        <v>777</v>
      </c>
      <c r="C6" s="275"/>
    </row>
    <row r="7" spans="1:3" x14ac:dyDescent="0.2">
      <c r="A7" s="239" t="s">
        <v>780</v>
      </c>
      <c r="B7" s="273" t="s">
        <v>776</v>
      </c>
      <c r="C7" s="274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1393706.81</v>
      </c>
      <c r="C9" s="229">
        <f>'DOE25'!G197+'DOE25'!G215+'DOE25'!G233+'DOE25'!G276+'DOE25'!G295+'DOE25'!G314</f>
        <v>688956.97</v>
      </c>
    </row>
    <row r="10" spans="1:3" x14ac:dyDescent="0.2">
      <c r="A10" t="s">
        <v>773</v>
      </c>
      <c r="B10" s="240">
        <f>1332964.57+4682.34</f>
        <v>1337646.9100000001</v>
      </c>
      <c r="C10" s="240">
        <v>661244.64301316196</v>
      </c>
    </row>
    <row r="11" spans="1:3" x14ac:dyDescent="0.2">
      <c r="A11" t="s">
        <v>774</v>
      </c>
      <c r="B11" s="240">
        <f>29785.17+3733.21</f>
        <v>33518.379999999997</v>
      </c>
      <c r="C11" s="240">
        <v>16569.282261100954</v>
      </c>
    </row>
    <row r="12" spans="1:3" x14ac:dyDescent="0.2">
      <c r="A12" t="s">
        <v>775</v>
      </c>
      <c r="B12" s="240">
        <v>22541.52</v>
      </c>
      <c r="C12" s="240">
        <v>11143.044725737074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1393706.81</v>
      </c>
      <c r="C13" s="231">
        <f>SUM(C10:C12)</f>
        <v>688956.97</v>
      </c>
    </row>
    <row r="14" spans="1:3" x14ac:dyDescent="0.2">
      <c r="B14" s="230"/>
      <c r="C14" s="230"/>
    </row>
    <row r="15" spans="1:3" x14ac:dyDescent="0.2">
      <c r="B15" s="275" t="s">
        <v>777</v>
      </c>
      <c r="C15" s="275"/>
    </row>
    <row r="16" spans="1:3" x14ac:dyDescent="0.2">
      <c r="A16" s="239" t="s">
        <v>781</v>
      </c>
      <c r="B16" s="273" t="s">
        <v>701</v>
      </c>
      <c r="C16" s="274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372622.77999999997</v>
      </c>
      <c r="C18" s="229">
        <f>'DOE25'!G198+'DOE25'!G216+'DOE25'!G234+'DOE25'!G277+'DOE25'!G296+'DOE25'!G315</f>
        <v>269081.26</v>
      </c>
    </row>
    <row r="19" spans="1:3" x14ac:dyDescent="0.2">
      <c r="A19" t="s">
        <v>773</v>
      </c>
      <c r="B19" s="240">
        <v>110292</v>
      </c>
      <c r="C19" s="240">
        <v>79644.916845717278</v>
      </c>
    </row>
    <row r="20" spans="1:3" x14ac:dyDescent="0.2">
      <c r="A20" t="s">
        <v>774</v>
      </c>
      <c r="B20" s="240">
        <f>14114.38+221652.82</f>
        <v>235767.2</v>
      </c>
      <c r="C20" s="240">
        <v>170254.04416410616</v>
      </c>
    </row>
    <row r="21" spans="1:3" x14ac:dyDescent="0.2">
      <c r="A21" t="s">
        <v>775</v>
      </c>
      <c r="B21" s="240">
        <f>20866.16+5697.42</f>
        <v>26563.58</v>
      </c>
      <c r="C21" s="240">
        <v>19182.298990176576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372622.78</v>
      </c>
      <c r="C22" s="231">
        <f>SUM(C19:C21)</f>
        <v>269081.26</v>
      </c>
    </row>
    <row r="23" spans="1:3" x14ac:dyDescent="0.2">
      <c r="B23" s="230"/>
      <c r="C23" s="230"/>
    </row>
    <row r="24" spans="1:3" x14ac:dyDescent="0.2">
      <c r="B24" s="275" t="s">
        <v>777</v>
      </c>
      <c r="C24" s="275"/>
    </row>
    <row r="25" spans="1:3" x14ac:dyDescent="0.2">
      <c r="A25" s="239" t="s">
        <v>782</v>
      </c>
      <c r="B25" s="273" t="s">
        <v>702</v>
      </c>
      <c r="C25" s="274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5" t="s">
        <v>777</v>
      </c>
      <c r="C33" s="275"/>
    </row>
    <row r="34" spans="1:3" x14ac:dyDescent="0.2">
      <c r="A34" s="239" t="s">
        <v>783</v>
      </c>
      <c r="B34" s="273" t="s">
        <v>703</v>
      </c>
      <c r="C34" s="274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30970</v>
      </c>
      <c r="C36" s="235">
        <f>'DOE25'!G200+'DOE25'!G218+'DOE25'!G236+'DOE25'!G279+'DOE25'!G298+'DOE25'!G317</f>
        <v>4135.28</v>
      </c>
    </row>
    <row r="37" spans="1:3" x14ac:dyDescent="0.2">
      <c r="A37" t="s">
        <v>773</v>
      </c>
      <c r="B37" s="240">
        <v>17060</v>
      </c>
      <c r="C37" s="21">
        <f>+C36*D37</f>
        <v>0</v>
      </c>
    </row>
    <row r="38" spans="1:3" x14ac:dyDescent="0.2">
      <c r="A38" t="s">
        <v>774</v>
      </c>
      <c r="B38" s="240"/>
      <c r="C38" s="21"/>
    </row>
    <row r="39" spans="1:3" x14ac:dyDescent="0.2">
      <c r="A39" t="s">
        <v>775</v>
      </c>
      <c r="B39" s="240">
        <f>6700+5810+367.5+210+280+542.5</f>
        <v>13910</v>
      </c>
      <c r="C39" s="21">
        <f>+C36-C37</f>
        <v>4135.28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30970</v>
      </c>
      <c r="C40" s="231">
        <f>SUM(C37:C39)</f>
        <v>4135.28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C9" sqref="C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784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711</v>
      </c>
      <c r="B2" s="265" t="str">
        <f>'DOE25'!A2</f>
        <v>Plainfield School District</v>
      </c>
      <c r="C2" s="181"/>
      <c r="D2" s="181" t="s">
        <v>786</v>
      </c>
      <c r="E2" s="181" t="s">
        <v>788</v>
      </c>
      <c r="F2" s="277" t="s">
        <v>815</v>
      </c>
      <c r="G2" s="278"/>
      <c r="H2" s="279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4462809.0399999991</v>
      </c>
      <c r="D5" s="20">
        <f>SUM('DOE25'!L197:L200)+SUM('DOE25'!L215:L218)+SUM('DOE25'!L233:L236)-F5-G5</f>
        <v>4446202.3599999985</v>
      </c>
      <c r="E5" s="243"/>
      <c r="F5" s="255">
        <f>SUM('DOE25'!J197:J200)+SUM('DOE25'!J215:J218)+SUM('DOE25'!J233:J236)</f>
        <v>2612.8999999999996</v>
      </c>
      <c r="G5" s="53">
        <f>SUM('DOE25'!K197:K200)+SUM('DOE25'!K215:K218)+SUM('DOE25'!K233:K236)</f>
        <v>13993.78</v>
      </c>
      <c r="H5" s="259"/>
    </row>
    <row r="6" spans="1:9" x14ac:dyDescent="0.2">
      <c r="A6" s="32">
        <v>2100</v>
      </c>
      <c r="B6" t="s">
        <v>795</v>
      </c>
      <c r="C6" s="245">
        <f t="shared" si="0"/>
        <v>227504.34</v>
      </c>
      <c r="D6" s="20">
        <f>'DOE25'!L202+'DOE25'!L220+'DOE25'!L238-F6-G6</f>
        <v>200309.3</v>
      </c>
      <c r="E6" s="243"/>
      <c r="F6" s="255">
        <f>'DOE25'!J202+'DOE25'!J220+'DOE25'!J238</f>
        <v>27066.04</v>
      </c>
      <c r="G6" s="53">
        <f>'DOE25'!K202+'DOE25'!K220+'DOE25'!K238</f>
        <v>129</v>
      </c>
      <c r="H6" s="259"/>
    </row>
    <row r="7" spans="1:9" x14ac:dyDescent="0.2">
      <c r="A7" s="32">
        <v>2200</v>
      </c>
      <c r="B7" t="s">
        <v>828</v>
      </c>
      <c r="C7" s="245">
        <f t="shared" si="0"/>
        <v>140551.28000000003</v>
      </c>
      <c r="D7" s="20">
        <f>'DOE25'!L203+'DOE25'!L221+'DOE25'!L239-F7-G7</f>
        <v>139641.79000000004</v>
      </c>
      <c r="E7" s="243"/>
      <c r="F7" s="255">
        <f>'DOE25'!J203+'DOE25'!J221+'DOE25'!J239</f>
        <v>594.49</v>
      </c>
      <c r="G7" s="53">
        <f>'DOE25'!K203+'DOE25'!K221+'DOE25'!K239</f>
        <v>315</v>
      </c>
      <c r="H7" s="259"/>
    </row>
    <row r="8" spans="1:9" x14ac:dyDescent="0.2">
      <c r="A8" s="32">
        <v>2300</v>
      </c>
      <c r="B8" t="s">
        <v>796</v>
      </c>
      <c r="C8" s="245">
        <f t="shared" si="0"/>
        <v>241130.26</v>
      </c>
      <c r="D8" s="243"/>
      <c r="E8" s="20">
        <f>'DOE25'!L204+'DOE25'!L222+'DOE25'!L240-F8-G8-D9-D11</f>
        <v>230998.09</v>
      </c>
      <c r="F8" s="255">
        <f>'DOE25'!J204+'DOE25'!J222+'DOE25'!J240</f>
        <v>119</v>
      </c>
      <c r="G8" s="53">
        <f>'DOE25'!K204+'DOE25'!K222+'DOE25'!K240</f>
        <v>10013.17</v>
      </c>
      <c r="H8" s="259"/>
    </row>
    <row r="9" spans="1:9" x14ac:dyDescent="0.2">
      <c r="A9" s="32">
        <v>2310</v>
      </c>
      <c r="B9" t="s">
        <v>812</v>
      </c>
      <c r="C9" s="245">
        <f t="shared" si="0"/>
        <v>28696.21</v>
      </c>
      <c r="D9" s="244">
        <f>1550+500+1830+5889.34+9500+4316.96+231+469+3446.18+963.73</f>
        <v>28696.21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9500</v>
      </c>
      <c r="D10" s="243"/>
      <c r="E10" s="244">
        <v>9500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157078.1</v>
      </c>
      <c r="D11" s="244">
        <v>157078.1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280514.54999999993</v>
      </c>
      <c r="D12" s="20">
        <f>'DOE25'!L205+'DOE25'!L223+'DOE25'!L241-F12-G12</f>
        <v>277487.69999999995</v>
      </c>
      <c r="E12" s="243"/>
      <c r="F12" s="255">
        <f>'DOE25'!J205+'DOE25'!J223+'DOE25'!J241</f>
        <v>598.99</v>
      </c>
      <c r="G12" s="53">
        <f>'DOE25'!K205+'DOE25'!K223+'DOE25'!K241</f>
        <v>2427.86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351651.07</v>
      </c>
      <c r="D14" s="20">
        <f>'DOE25'!L207+'DOE25'!L225+'DOE25'!L243-F14-G14</f>
        <v>348292.98</v>
      </c>
      <c r="E14" s="243"/>
      <c r="F14" s="255">
        <f>'DOE25'!J207+'DOE25'!J225+'DOE25'!J243</f>
        <v>2968.09</v>
      </c>
      <c r="G14" s="53">
        <f>'DOE25'!K207+'DOE25'!K225+'DOE25'!K243</f>
        <v>390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230468.01</v>
      </c>
      <c r="D15" s="20">
        <f>'DOE25'!L208+'DOE25'!L226+'DOE25'!L244-F15-G15</f>
        <v>230468.01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100262.5</v>
      </c>
      <c r="D25" s="243"/>
      <c r="E25" s="243"/>
      <c r="F25" s="258"/>
      <c r="G25" s="256"/>
      <c r="H25" s="257">
        <f>'DOE25'!L260+'DOE25'!L261+'DOE25'!L341+'DOE25'!L342</f>
        <v>100262.5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68457</v>
      </c>
      <c r="D29" s="20">
        <f>'DOE25'!L358+'DOE25'!L359+'DOE25'!L360-'DOE25'!I367-F29-G29</f>
        <v>56265.82</v>
      </c>
      <c r="E29" s="243"/>
      <c r="F29" s="255">
        <f>'DOE25'!J358+'DOE25'!J359+'DOE25'!J360</f>
        <v>12083.18</v>
      </c>
      <c r="G29" s="53">
        <f>'DOE25'!K358+'DOE25'!K359+'DOE25'!K360</f>
        <v>108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98170.43</v>
      </c>
      <c r="D31" s="20">
        <f>'DOE25'!L290+'DOE25'!L309+'DOE25'!L328+'DOE25'!L333+'DOE25'!L334+'DOE25'!L335-F31-G31</f>
        <v>96892.54</v>
      </c>
      <c r="E31" s="243"/>
      <c r="F31" s="255">
        <f>'DOE25'!J290+'DOE25'!J309+'DOE25'!J328+'DOE25'!J333+'DOE25'!J334+'DOE25'!J335</f>
        <v>1277.8900000000001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5981334.8099999977</v>
      </c>
      <c r="E33" s="246">
        <f>SUM(E5:E31)</f>
        <v>240498.09</v>
      </c>
      <c r="F33" s="246">
        <f>SUM(F5:F31)</f>
        <v>47320.580000000009</v>
      </c>
      <c r="G33" s="246">
        <f>SUM(G5:G31)</f>
        <v>27376.81</v>
      </c>
      <c r="H33" s="246">
        <f>SUM(H5:H31)</f>
        <v>100262.5</v>
      </c>
    </row>
    <row r="35" spans="2:8" ht="12" thickBot="1" x14ac:dyDescent="0.25">
      <c r="B35" s="253" t="s">
        <v>841</v>
      </c>
      <c r="D35" s="254">
        <f>E33</f>
        <v>240498.09</v>
      </c>
      <c r="E35" s="249"/>
    </row>
    <row r="36" spans="2:8" ht="12" thickTop="1" x14ac:dyDescent="0.2">
      <c r="B36" t="s">
        <v>809</v>
      </c>
      <c r="D36" s="20">
        <f>D33</f>
        <v>5981334.8099999977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22" sqref="C22:E2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Plainfield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159894.57999999999</v>
      </c>
      <c r="D8" s="95">
        <f>'DOE25'!G9</f>
        <v>0</v>
      </c>
      <c r="E8" s="95">
        <f>'DOE25'!H9</f>
        <v>28503.200000000001</v>
      </c>
      <c r="F8" s="95">
        <f>'DOE25'!I9</f>
        <v>0</v>
      </c>
      <c r="G8" s="95">
        <f>'DOE25'!J9</f>
        <v>358095.56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65703.55</v>
      </c>
      <c r="D11" s="95">
        <f>'DOE25'!G12</f>
        <v>3034.33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1545.68</v>
      </c>
      <c r="D12" s="95">
        <f>'DOE25'!G13</f>
        <v>3624.73</v>
      </c>
      <c r="E12" s="95">
        <f>'DOE25'!H13</f>
        <v>49191.99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11274.01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238417.82</v>
      </c>
      <c r="D18" s="41">
        <f>SUM(D8:D17)</f>
        <v>6659.0599999999995</v>
      </c>
      <c r="E18" s="41">
        <f>SUM(E8:E17)</f>
        <v>77695.19</v>
      </c>
      <c r="F18" s="41">
        <f>SUM(F8:F17)</f>
        <v>0</v>
      </c>
      <c r="G18" s="41">
        <f>SUM(G8:G17)</f>
        <v>358095.56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68737.88</v>
      </c>
      <c r="F21" s="95">
        <f>'DOE25'!I22</f>
        <v>0</v>
      </c>
      <c r="G21" s="95">
        <f>'DOE25'!J22</f>
        <v>42984.77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39167.54</v>
      </c>
      <c r="D23" s="95">
        <f>'DOE25'!G24</f>
        <v>6659.06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71396.81</v>
      </c>
      <c r="D28" s="95">
        <f>'DOE25'!G29</f>
        <v>0</v>
      </c>
      <c r="E28" s="95">
        <f>'DOE25'!H29</f>
        <v>23.37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7033.78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110564.35</v>
      </c>
      <c r="D31" s="41">
        <f>SUM(D21:D30)</f>
        <v>6659.06</v>
      </c>
      <c r="E31" s="41">
        <f>SUM(E21:E30)</f>
        <v>75795.03</v>
      </c>
      <c r="F31" s="41">
        <f>SUM(F21:F30)</f>
        <v>0</v>
      </c>
      <c r="G31" s="41">
        <f>SUM(G21:G30)</f>
        <v>42984.77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1900.1600000000035</v>
      </c>
      <c r="F47" s="95">
        <f>'DOE25'!I48</f>
        <v>0</v>
      </c>
      <c r="G47" s="95">
        <f>'DOE25'!J48</f>
        <v>315110.78999999998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3188.36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124665.11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127853.47</v>
      </c>
      <c r="D50" s="41">
        <f>SUM(D34:D49)</f>
        <v>0</v>
      </c>
      <c r="E50" s="41">
        <f>SUM(E34:E49)</f>
        <v>1900.1600000000035</v>
      </c>
      <c r="F50" s="41">
        <f>SUM(F34:F49)</f>
        <v>0</v>
      </c>
      <c r="G50" s="41">
        <f>SUM(G34:G49)</f>
        <v>315110.78999999998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238417.82</v>
      </c>
      <c r="D51" s="41">
        <f>D50+D31</f>
        <v>6659.06</v>
      </c>
      <c r="E51" s="41">
        <f>E50+E31</f>
        <v>77695.19</v>
      </c>
      <c r="F51" s="41">
        <f>F50+F31</f>
        <v>0</v>
      </c>
      <c r="G51" s="41">
        <f>G50+G31</f>
        <v>358095.56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4617329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3577.3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1036.8699999999999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29876.85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158221.04999999999</v>
      </c>
      <c r="D61" s="95">
        <f>SUM('DOE25'!G98:G110)</f>
        <v>0</v>
      </c>
      <c r="E61" s="95">
        <f>SUM('DOE25'!H98:H110)</f>
        <v>6127.89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161798.34999999998</v>
      </c>
      <c r="D62" s="130">
        <f>SUM(D57:D61)</f>
        <v>29876.85</v>
      </c>
      <c r="E62" s="130">
        <f>SUM(E57:E61)</f>
        <v>6127.89</v>
      </c>
      <c r="F62" s="130">
        <f>SUM(F57:F61)</f>
        <v>0</v>
      </c>
      <c r="G62" s="130">
        <f>SUM(G57:G61)</f>
        <v>1036.8699999999999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4779127.3499999996</v>
      </c>
      <c r="D63" s="22">
        <f>D56+D62</f>
        <v>29876.85</v>
      </c>
      <c r="E63" s="22">
        <f>E56+E62</f>
        <v>6127.89</v>
      </c>
      <c r="F63" s="22">
        <f>F56+F62</f>
        <v>0</v>
      </c>
      <c r="G63" s="22">
        <f>G56+G62</f>
        <v>1036.8699999999999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627628.80000000005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610662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4006.17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1242296.97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9002.33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170393.53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433.39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179395.86</v>
      </c>
      <c r="D78" s="130">
        <f>SUM(D72:D77)</f>
        <v>433.39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1421692.83</v>
      </c>
      <c r="D81" s="130">
        <f>SUM(D79:D80)+D78+D70</f>
        <v>433.39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5512.14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57676.27</v>
      </c>
      <c r="D88" s="95">
        <f>SUM('DOE25'!G153:G161)</f>
        <v>7331.31</v>
      </c>
      <c r="E88" s="95">
        <f>SUM('DOE25'!H153:H161)</f>
        <v>61967.59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57676.27</v>
      </c>
      <c r="D91" s="131">
        <f>SUM(D85:D90)</f>
        <v>7331.31</v>
      </c>
      <c r="E91" s="131">
        <f>SUM(E85:E90)</f>
        <v>67479.73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30815.45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30815.45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759</v>
      </c>
      <c r="C104" s="86">
        <f>C63+C81+C91+C103</f>
        <v>6258496.4499999993</v>
      </c>
      <c r="D104" s="86">
        <f>D63+D81+D91+D103</f>
        <v>68457</v>
      </c>
      <c r="E104" s="86">
        <f>E63+E81+E91+E103</f>
        <v>73607.62</v>
      </c>
      <c r="F104" s="86">
        <f>F63+F81+F91+F103</f>
        <v>0</v>
      </c>
      <c r="G104" s="86">
        <f>G63+G81+G103</f>
        <v>51036.87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3244851.76</v>
      </c>
      <c r="D109" s="24" t="s">
        <v>286</v>
      </c>
      <c r="E109" s="95">
        <f>('DOE25'!L276)+('DOE25'!L295)+('DOE25'!L314)</f>
        <v>39936.050000000003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1178460.9099999999</v>
      </c>
      <c r="D110" s="24" t="s">
        <v>286</v>
      </c>
      <c r="E110" s="95">
        <f>('DOE25'!L277)+('DOE25'!L296)+('DOE25'!L315)</f>
        <v>58234.38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39496.369999999995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4462809.04</v>
      </c>
      <c r="D115" s="86">
        <f>SUM(D109:D114)</f>
        <v>0</v>
      </c>
      <c r="E115" s="86">
        <f>SUM(E109:E114)</f>
        <v>98170.43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227504.34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140551.28000000003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426904.57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280514.54999999993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351651.07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230468.01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68457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1657593.8199999998</v>
      </c>
      <c r="D128" s="86">
        <f>SUM(D118:D127)</f>
        <v>68457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85000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15262.5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42984.77</v>
      </c>
    </row>
    <row r="135" spans="1:7" x14ac:dyDescent="0.2">
      <c r="A135" t="s">
        <v>233</v>
      </c>
      <c r="B135" s="32" t="s">
        <v>234</v>
      </c>
      <c r="C135" s="95">
        <f>'DOE25'!L263</f>
        <v>30815.45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51036.87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-1036.8700000000026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181077.95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42984.77</v>
      </c>
    </row>
    <row r="145" spans="1:9" ht="12.75" thickTop="1" thickBot="1" x14ac:dyDescent="0.25">
      <c r="A145" s="33" t="s">
        <v>244</v>
      </c>
      <c r="C145" s="86">
        <f>(C115+C128+C144)</f>
        <v>6301480.8099999996</v>
      </c>
      <c r="D145" s="86">
        <f>(D115+D128+D144)</f>
        <v>68457</v>
      </c>
      <c r="E145" s="86">
        <f>(E115+E128+E144)</f>
        <v>98170.43</v>
      </c>
      <c r="F145" s="86">
        <f>(F115+F128+F144)</f>
        <v>0</v>
      </c>
      <c r="G145" s="86">
        <f>(G115+G128+G144)</f>
        <v>42984.77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10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12/10</v>
      </c>
      <c r="C152" s="152" t="str">
        <f>'DOE25'!G491</f>
        <v>07/12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01/21</v>
      </c>
      <c r="C153" s="152" t="str">
        <f>'DOE25'!G492</f>
        <v>08/22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314800</v>
      </c>
      <c r="C154" s="137">
        <f>'DOE25'!G493</f>
        <v>543500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3</v>
      </c>
      <c r="C155" s="137">
        <f>'DOE25'!G494</f>
        <v>2.33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120000</v>
      </c>
      <c r="C156" s="137">
        <f>'DOE25'!G495</f>
        <v>320000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440000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30000</v>
      </c>
      <c r="C158" s="137">
        <f>'DOE25'!G497</f>
        <v>55000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85000</v>
      </c>
    </row>
    <row r="159" spans="1:9" x14ac:dyDescent="0.2">
      <c r="A159" s="22" t="s">
        <v>35</v>
      </c>
      <c r="B159" s="137">
        <f>'DOE25'!F498</f>
        <v>90000</v>
      </c>
      <c r="C159" s="137">
        <f>'DOE25'!G498</f>
        <v>265000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355000</v>
      </c>
    </row>
    <row r="160" spans="1:9" x14ac:dyDescent="0.2">
      <c r="A160" s="22" t="s">
        <v>36</v>
      </c>
      <c r="B160" s="137">
        <f>'DOE25'!F499</f>
        <v>5400</v>
      </c>
      <c r="C160" s="137">
        <f>'DOE25'!G499</f>
        <v>24868.75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30268.75</v>
      </c>
    </row>
    <row r="161" spans="1:7" x14ac:dyDescent="0.2">
      <c r="A161" s="22" t="s">
        <v>37</v>
      </c>
      <c r="B161" s="137">
        <f>'DOE25'!F500</f>
        <v>95400</v>
      </c>
      <c r="C161" s="137">
        <f>'DOE25'!G500</f>
        <v>289868.75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385268.75</v>
      </c>
    </row>
    <row r="162" spans="1:7" x14ac:dyDescent="0.2">
      <c r="A162" s="22" t="s">
        <v>38</v>
      </c>
      <c r="B162" s="137">
        <f>'DOE25'!F501</f>
        <v>30000</v>
      </c>
      <c r="C162" s="137">
        <f>'DOE25'!G501</f>
        <v>55000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85000</v>
      </c>
    </row>
    <row r="163" spans="1:7" x14ac:dyDescent="0.2">
      <c r="A163" s="22" t="s">
        <v>39</v>
      </c>
      <c r="B163" s="137">
        <f>'DOE25'!F502</f>
        <v>3000</v>
      </c>
      <c r="C163" s="137">
        <f>'DOE25'!G502</f>
        <v>8812.5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11812.5</v>
      </c>
    </row>
    <row r="164" spans="1:7" x14ac:dyDescent="0.2">
      <c r="A164" s="22" t="s">
        <v>246</v>
      </c>
      <c r="B164" s="137">
        <f>'DOE25'!F503</f>
        <v>33000</v>
      </c>
      <c r="C164" s="137">
        <f>'DOE25'!G503</f>
        <v>63812.5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96812.5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734</v>
      </c>
      <c r="B1" s="281"/>
      <c r="C1" s="281"/>
      <c r="D1" s="281"/>
    </row>
    <row r="2" spans="1:4" x14ac:dyDescent="0.2">
      <c r="A2" s="187" t="s">
        <v>711</v>
      </c>
      <c r="B2" s="186" t="str">
        <f>'DOE25'!A2</f>
        <v>Plainfield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22206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22206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3284788</v>
      </c>
      <c r="D10" s="182">
        <f>ROUND((C10/$C$28)*100,1)</f>
        <v>52.4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1236695</v>
      </c>
      <c r="D11" s="182">
        <f>ROUND((C11/$C$28)*100,1)</f>
        <v>19.7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39496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227504</v>
      </c>
      <c r="D15" s="182">
        <f t="shared" ref="D15:D27" si="0">ROUND((C15/$C$28)*100,1)</f>
        <v>3.6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140551</v>
      </c>
      <c r="D16" s="182">
        <f t="shared" si="0"/>
        <v>2.2000000000000002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426905</v>
      </c>
      <c r="D17" s="182">
        <f t="shared" si="0"/>
        <v>6.8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280515</v>
      </c>
      <c r="D18" s="182">
        <f t="shared" si="0"/>
        <v>4.5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351651</v>
      </c>
      <c r="D20" s="182">
        <f t="shared" si="0"/>
        <v>5.6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230468</v>
      </c>
      <c r="D21" s="182">
        <f t="shared" si="0"/>
        <v>3.7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15263</v>
      </c>
      <c r="D25" s="182">
        <f t="shared" si="0"/>
        <v>0.2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38580.15</v>
      </c>
      <c r="D27" s="182">
        <f t="shared" si="0"/>
        <v>0.6</v>
      </c>
    </row>
    <row r="28" spans="1:4" x14ac:dyDescent="0.2">
      <c r="B28" s="187" t="s">
        <v>717</v>
      </c>
      <c r="C28" s="180">
        <f>SUM(C10:C27)</f>
        <v>6272416.1500000004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6272416.1500000004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85000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4617329</v>
      </c>
      <c r="D35" s="182">
        <f t="shared" ref="D35:D40" si="1">ROUND((C35/$C$41)*100,1)</f>
        <v>72.8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168963.1099999994</v>
      </c>
      <c r="D36" s="182">
        <f t="shared" si="1"/>
        <v>2.7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1238291</v>
      </c>
      <c r="D37" s="182">
        <f t="shared" si="1"/>
        <v>19.5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183835</v>
      </c>
      <c r="D38" s="182">
        <f t="shared" si="1"/>
        <v>2.9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132487</v>
      </c>
      <c r="D39" s="182">
        <f t="shared" si="1"/>
        <v>2.1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6340905.1099999994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Plainfield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7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9" t="s">
        <v>842</v>
      </c>
      <c r="B72" s="299"/>
      <c r="C72" s="299"/>
      <c r="D72" s="299"/>
      <c r="E72" s="29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</row>
    <row r="74" spans="1:13" x14ac:dyDescent="0.2">
      <c r="A74" s="211"/>
      <c r="B74" s="211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</row>
    <row r="75" spans="1:13" x14ac:dyDescent="0.2">
      <c r="A75" s="211"/>
      <c r="B75" s="211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</row>
    <row r="76" spans="1:13" x14ac:dyDescent="0.2">
      <c r="A76" s="211"/>
      <c r="B76" s="211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</row>
    <row r="77" spans="1:13" x14ac:dyDescent="0.2">
      <c r="A77" s="211"/>
      <c r="B77" s="211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</row>
    <row r="78" spans="1:13" x14ac:dyDescent="0.2">
      <c r="A78" s="211"/>
      <c r="B78" s="211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</row>
    <row r="79" spans="1:13" x14ac:dyDescent="0.2">
      <c r="A79" s="211"/>
      <c r="B79" s="211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</row>
    <row r="80" spans="1:13" x14ac:dyDescent="0.2">
      <c r="A80" s="211"/>
      <c r="B80" s="211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</row>
    <row r="81" spans="1:13" x14ac:dyDescent="0.2">
      <c r="A81" s="211"/>
      <c r="B81" s="211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</row>
    <row r="82" spans="1:13" x14ac:dyDescent="0.2">
      <c r="A82" s="211"/>
      <c r="B82" s="211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</row>
    <row r="83" spans="1:13" x14ac:dyDescent="0.2">
      <c r="A83" s="211"/>
      <c r="B83" s="211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</row>
    <row r="84" spans="1:13" x14ac:dyDescent="0.2">
      <c r="A84" s="211"/>
      <c r="B84" s="211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</row>
    <row r="85" spans="1:13" x14ac:dyDescent="0.2">
      <c r="A85" s="211"/>
      <c r="B85" s="211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</row>
    <row r="86" spans="1:13" x14ac:dyDescent="0.2">
      <c r="A86" s="211"/>
      <c r="B86" s="211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</row>
    <row r="87" spans="1:13" x14ac:dyDescent="0.2">
      <c r="A87" s="211"/>
      <c r="B87" s="211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</row>
    <row r="88" spans="1:13" x14ac:dyDescent="0.2">
      <c r="A88" s="211"/>
      <c r="B88" s="211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</row>
    <row r="89" spans="1:13" x14ac:dyDescent="0.2">
      <c r="A89" s="211"/>
      <c r="B89" s="211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</row>
    <row r="90" spans="1:13" x14ac:dyDescent="0.2">
      <c r="A90" s="211"/>
      <c r="B90" s="211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60:M60"/>
    <mergeCell ref="C62:M62"/>
    <mergeCell ref="C61:M61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56:M56"/>
    <mergeCell ref="C57:M57"/>
    <mergeCell ref="C59:M59"/>
    <mergeCell ref="C58:M58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BC29:BM29"/>
    <mergeCell ref="BP29:BZ29"/>
    <mergeCell ref="CC29:CM29"/>
    <mergeCell ref="AP29:AZ29"/>
    <mergeCell ref="C30:M30"/>
    <mergeCell ref="C31:M31"/>
    <mergeCell ref="P31:Z31"/>
    <mergeCell ref="AC31:AM31"/>
    <mergeCell ref="AP31:AZ31"/>
    <mergeCell ref="AP32:AZ32"/>
    <mergeCell ref="A1:I1"/>
    <mergeCell ref="C3:M3"/>
    <mergeCell ref="C4:M4"/>
    <mergeCell ref="F2:I2"/>
    <mergeCell ref="P29:Z29"/>
    <mergeCell ref="AC29:AM29"/>
    <mergeCell ref="C28:M28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P30:Z30"/>
    <mergeCell ref="AC30:AM30"/>
    <mergeCell ref="AP30:AZ30"/>
    <mergeCell ref="C41:M41"/>
    <mergeCell ref="C33:M33"/>
    <mergeCell ref="C37:M37"/>
    <mergeCell ref="P32:Z32"/>
    <mergeCell ref="AC32:AM32"/>
    <mergeCell ref="C34:M34"/>
    <mergeCell ref="C32:M32"/>
    <mergeCell ref="IP30:IV30"/>
    <mergeCell ref="GP30:GZ30"/>
    <mergeCell ref="CP32:CZ32"/>
    <mergeCell ref="CP30:CZ30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HC32:HM32"/>
    <mergeCell ref="FC30:FM30"/>
    <mergeCell ref="FC31:FM31"/>
    <mergeCell ref="IC38:IM38"/>
    <mergeCell ref="IP38:IV38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IC31:IM31"/>
    <mergeCell ref="IP31:IV31"/>
    <mergeCell ref="HP31:HZ31"/>
    <mergeCell ref="HP30:HZ30"/>
    <mergeCell ref="FP30:FZ30"/>
    <mergeCell ref="FP31:FZ31"/>
    <mergeCell ref="GC31:GM31"/>
    <mergeCell ref="GP31:GZ31"/>
    <mergeCell ref="HC31:HM31"/>
    <mergeCell ref="EC29:EM29"/>
    <mergeCell ref="EP29:EZ29"/>
    <mergeCell ref="FC29:FM29"/>
    <mergeCell ref="CP29:CZ29"/>
    <mergeCell ref="IC30:IM30"/>
    <mergeCell ref="EP31:EZ31"/>
    <mergeCell ref="BC31:BM31"/>
    <mergeCell ref="BC32:BM32"/>
    <mergeCell ref="BC39:BM39"/>
    <mergeCell ref="BP31:BZ31"/>
    <mergeCell ref="CC31:CM31"/>
    <mergeCell ref="DC32:DM32"/>
    <mergeCell ref="BP32:BZ32"/>
    <mergeCell ref="CP31:CZ31"/>
    <mergeCell ref="FP32:FZ32"/>
    <mergeCell ref="GC32:GM32"/>
    <mergeCell ref="DC38:DM38"/>
    <mergeCell ref="DP38:DZ38"/>
    <mergeCell ref="EC38:EM38"/>
    <mergeCell ref="DC31:DM31"/>
    <mergeCell ref="DP31:DZ31"/>
    <mergeCell ref="EC31:EM31"/>
    <mergeCell ref="GC30:GM30"/>
    <mergeCell ref="GP32:GZ32"/>
    <mergeCell ref="BC38:BM38"/>
    <mergeCell ref="HP32:HZ32"/>
    <mergeCell ref="IC32:IM32"/>
    <mergeCell ref="IP32:IV32"/>
    <mergeCell ref="EP38:EZ38"/>
    <mergeCell ref="FC38:FM38"/>
    <mergeCell ref="FP38:FZ38"/>
    <mergeCell ref="HC39:HM39"/>
    <mergeCell ref="DC39:DM39"/>
    <mergeCell ref="P38:Z38"/>
    <mergeCell ref="AC38:AM38"/>
    <mergeCell ref="AP38:AZ38"/>
    <mergeCell ref="HP38:HZ38"/>
    <mergeCell ref="GC38:GM38"/>
    <mergeCell ref="GP38:GZ38"/>
    <mergeCell ref="HC38:HM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DP39:DZ39"/>
    <mergeCell ref="EC39:EM39"/>
    <mergeCell ref="GC39:GM39"/>
    <mergeCell ref="BP39:BZ39"/>
    <mergeCell ref="CC39:CM39"/>
    <mergeCell ref="CP39:CZ39"/>
    <mergeCell ref="CP38:CZ38"/>
    <mergeCell ref="C46:M46"/>
    <mergeCell ref="GC40:GM40"/>
    <mergeCell ref="GP40:GZ40"/>
    <mergeCell ref="HC40:HM40"/>
    <mergeCell ref="C42:M42"/>
    <mergeCell ref="FC40:FM40"/>
    <mergeCell ref="FP40:FZ40"/>
    <mergeCell ref="AC40:AM40"/>
    <mergeCell ref="IP40:IV40"/>
    <mergeCell ref="C45:M45"/>
    <mergeCell ref="DC40:DM40"/>
    <mergeCell ref="EP40:EZ40"/>
    <mergeCell ref="C44:M44"/>
    <mergeCell ref="DP40:DZ40"/>
    <mergeCell ref="IC40:IM40"/>
    <mergeCell ref="HP40:HZ40"/>
    <mergeCell ref="EC40:EM40"/>
    <mergeCell ref="AP40:AZ40"/>
    <mergeCell ref="CC40:CM40"/>
    <mergeCell ref="CP40:CZ40"/>
    <mergeCell ref="P40:Z40"/>
    <mergeCell ref="BP40:BZ40"/>
    <mergeCell ref="C43:M43"/>
    <mergeCell ref="BC40:B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2018-09-18T11:53:05Z</cp:lastPrinted>
  <dcterms:created xsi:type="dcterms:W3CDTF">1997-12-04T19:04:30Z</dcterms:created>
  <dcterms:modified xsi:type="dcterms:W3CDTF">2018-11-30T15:54:37Z</dcterms:modified>
</cp:coreProperties>
</file>