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0490" windowHeight="76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E8" i="13"/>
  <c r="C8" i="13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/>
  <c r="C12" i="13"/>
  <c r="F14" i="13"/>
  <c r="G14" i="13"/>
  <c r="L207" i="1"/>
  <c r="L225" i="1"/>
  <c r="C20" i="10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/>
  <c r="C18" i="13"/>
  <c r="F19" i="13"/>
  <c r="G19" i="13"/>
  <c r="L253" i="1"/>
  <c r="F29" i="13"/>
  <c r="G29" i="13"/>
  <c r="L358" i="1"/>
  <c r="L359" i="1"/>
  <c r="L360" i="1"/>
  <c r="G661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/>
  <c r="L334" i="1"/>
  <c r="L335" i="1"/>
  <c r="L260" i="1"/>
  <c r="C131" i="2"/>
  <c r="L261" i="1"/>
  <c r="C25" i="10"/>
  <c r="L341" i="1"/>
  <c r="L342" i="1"/>
  <c r="L255" i="1"/>
  <c r="C130" i="2"/>
  <c r="L336" i="1"/>
  <c r="C11" i="13"/>
  <c r="C10" i="13"/>
  <c r="C9" i="13"/>
  <c r="L361" i="1"/>
  <c r="L362" i="1"/>
  <c r="B4" i="12"/>
  <c r="B36" i="12"/>
  <c r="C36" i="12"/>
  <c r="B40" i="12"/>
  <c r="A40" i="12"/>
  <c r="C40" i="12"/>
  <c r="B27" i="12"/>
  <c r="C27" i="12"/>
  <c r="B31" i="12"/>
  <c r="A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/>
  <c r="C139" i="2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L612" i="1"/>
  <c r="G663" i="1"/>
  <c r="L611" i="1"/>
  <c r="F663" i="1"/>
  <c r="C40" i="10"/>
  <c r="F60" i="1"/>
  <c r="G60" i="1"/>
  <c r="H60" i="1"/>
  <c r="I60" i="1"/>
  <c r="F56" i="2"/>
  <c r="F79" i="1"/>
  <c r="C57" i="2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C85" i="2"/>
  <c r="F162" i="1"/>
  <c r="F169" i="1"/>
  <c r="G147" i="1"/>
  <c r="G162" i="1"/>
  <c r="H147" i="1"/>
  <c r="H162" i="1"/>
  <c r="I147" i="1"/>
  <c r="I162" i="1"/>
  <c r="C11" i="10"/>
  <c r="L250" i="1"/>
  <c r="C113" i="2"/>
  <c r="L332" i="1"/>
  <c r="L254" i="1"/>
  <c r="L268" i="1"/>
  <c r="L269" i="1"/>
  <c r="C143" i="2"/>
  <c r="L349" i="1"/>
  <c r="L350" i="1"/>
  <c r="I665" i="1"/>
  <c r="I672" i="1" s="1"/>
  <c r="C7" i="10" s="1"/>
  <c r="I670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F552" i="1"/>
  <c r="L522" i="1"/>
  <c r="F550" i="1"/>
  <c r="L523" i="1"/>
  <c r="F551" i="1"/>
  <c r="L526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L541" i="1"/>
  <c r="J549" i="1"/>
  <c r="J552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E31" i="2"/>
  <c r="F21" i="2"/>
  <c r="I448" i="1"/>
  <c r="J22" i="1"/>
  <c r="C22" i="2"/>
  <c r="D22" i="2"/>
  <c r="D31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G36" i="2"/>
  <c r="I459" i="1"/>
  <c r="J48" i="1"/>
  <c r="G47" i="2"/>
  <c r="C49" i="2"/>
  <c r="D56" i="2"/>
  <c r="E56" i="2"/>
  <c r="C58" i="2"/>
  <c r="E58" i="2"/>
  <c r="C59" i="2"/>
  <c r="D59" i="2"/>
  <c r="D62" i="2"/>
  <c r="D63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/>
  <c r="F81" i="2"/>
  <c r="C73" i="2"/>
  <c r="F73" i="2"/>
  <c r="C74" i="2"/>
  <c r="C75" i="2"/>
  <c r="C76" i="2"/>
  <c r="E76" i="2"/>
  <c r="F76" i="2"/>
  <c r="C77" i="2"/>
  <c r="D77" i="2"/>
  <c r="D78" i="2"/>
  <c r="D81" i="2"/>
  <c r="E77" i="2"/>
  <c r="F77" i="2"/>
  <c r="G77" i="2"/>
  <c r="G78" i="2"/>
  <c r="G81" i="2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E113" i="2"/>
  <c r="D115" i="2"/>
  <c r="F115" i="2"/>
  <c r="G115" i="2"/>
  <c r="C119" i="2"/>
  <c r="E120" i="2"/>
  <c r="C121" i="2"/>
  <c r="E123" i="2"/>
  <c r="E124" i="2"/>
  <c r="C125" i="2"/>
  <c r="F128" i="2"/>
  <c r="G128" i="2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/>
  <c r="H503" i="1"/>
  <c r="D164" i="2"/>
  <c r="I503" i="1"/>
  <c r="E164" i="2"/>
  <c r="J503" i="1"/>
  <c r="F164" i="2"/>
  <c r="F19" i="1"/>
  <c r="G617" i="1"/>
  <c r="G19" i="1"/>
  <c r="H19" i="1"/>
  <c r="I19" i="1"/>
  <c r="G620" i="1"/>
  <c r="F32" i="1"/>
  <c r="F52" i="1"/>
  <c r="H617" i="1"/>
  <c r="G32" i="1"/>
  <c r="H32" i="1"/>
  <c r="I32" i="1"/>
  <c r="G52" i="1"/>
  <c r="H618" i="1"/>
  <c r="H51" i="1"/>
  <c r="I51" i="1"/>
  <c r="F177" i="1"/>
  <c r="I177" i="1"/>
  <c r="F183" i="1"/>
  <c r="G183" i="1"/>
  <c r="H183" i="1"/>
  <c r="I183" i="1"/>
  <c r="J183" i="1"/>
  <c r="J192" i="1"/>
  <c r="F188" i="1"/>
  <c r="G188" i="1"/>
  <c r="H188" i="1"/>
  <c r="H192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/>
  <c r="H352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634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/>
  <c r="I408" i="1"/>
  <c r="L413" i="1"/>
  <c r="L414" i="1"/>
  <c r="L415" i="1"/>
  <c r="L419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/>
  <c r="L430" i="1"/>
  <c r="L431" i="1"/>
  <c r="L432" i="1"/>
  <c r="F433" i="1"/>
  <c r="G433" i="1"/>
  <c r="H433" i="1"/>
  <c r="I433" i="1"/>
  <c r="J433" i="1"/>
  <c r="F446" i="1"/>
  <c r="G446" i="1"/>
  <c r="H446" i="1"/>
  <c r="G641" i="1"/>
  <c r="I446" i="1"/>
  <c r="G642" i="1"/>
  <c r="F452" i="1"/>
  <c r="G452" i="1"/>
  <c r="H452" i="1"/>
  <c r="H461" i="1"/>
  <c r="H641" i="1"/>
  <c r="I452" i="1"/>
  <c r="F460" i="1"/>
  <c r="G460" i="1"/>
  <c r="G461" i="1"/>
  <c r="H640" i="1"/>
  <c r="H460" i="1"/>
  <c r="I460" i="1"/>
  <c r="I461" i="1"/>
  <c r="H642" i="1"/>
  <c r="F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/>
  <c r="I560" i="1"/>
  <c r="J560" i="1"/>
  <c r="K560" i="1"/>
  <c r="L562" i="1"/>
  <c r="L565" i="1"/>
  <c r="L563" i="1"/>
  <c r="L564" i="1"/>
  <c r="F565" i="1"/>
  <c r="G565" i="1"/>
  <c r="H565" i="1"/>
  <c r="I565" i="1"/>
  <c r="J565" i="1"/>
  <c r="J571" i="1"/>
  <c r="K565" i="1"/>
  <c r="L567" i="1"/>
  <c r="L568" i="1"/>
  <c r="L569" i="1"/>
  <c r="L570" i="1"/>
  <c r="F570" i="1"/>
  <c r="G570" i="1"/>
  <c r="H570" i="1"/>
  <c r="I570" i="1"/>
  <c r="I571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G643" i="1"/>
  <c r="J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G156" i="2"/>
  <c r="G62" i="2"/>
  <c r="D19" i="13"/>
  <c r="C19" i="13"/>
  <c r="E78" i="2"/>
  <c r="E81" i="2"/>
  <c r="I169" i="1"/>
  <c r="J476" i="1"/>
  <c r="H626" i="1"/>
  <c r="J140" i="1"/>
  <c r="G22" i="2"/>
  <c r="H552" i="1"/>
  <c r="H140" i="1"/>
  <c r="E16" i="13"/>
  <c r="C16" i="13"/>
  <c r="G545" i="1"/>
  <c r="L328" i="1"/>
  <c r="F476" i="1"/>
  <c r="H622" i="1"/>
  <c r="J622" i="1"/>
  <c r="G338" i="1"/>
  <c r="G352" i="1"/>
  <c r="G161" i="2"/>
  <c r="K550" i="1"/>
  <c r="E125" i="2"/>
  <c r="E121" i="2"/>
  <c r="E112" i="2"/>
  <c r="C110" i="2"/>
  <c r="J655" i="1"/>
  <c r="I545" i="1"/>
  <c r="L309" i="1"/>
  <c r="K500" i="1"/>
  <c r="I476" i="1"/>
  <c r="H625" i="1"/>
  <c r="J640" i="1"/>
  <c r="F338" i="1"/>
  <c r="F352" i="1"/>
  <c r="F257" i="1"/>
  <c r="F271" i="1"/>
  <c r="G192" i="1"/>
  <c r="G157" i="2"/>
  <c r="D50" i="2"/>
  <c r="K545" i="1"/>
  <c r="F18" i="2"/>
  <c r="I257" i="1"/>
  <c r="I271" i="1"/>
  <c r="C26" i="10"/>
  <c r="C16" i="10"/>
  <c r="C112" i="2"/>
  <c r="H545" i="1"/>
  <c r="H476" i="1"/>
  <c r="H624" i="1"/>
  <c r="G476" i="1"/>
  <c r="H623" i="1"/>
  <c r="J623" i="1"/>
  <c r="K338" i="1"/>
  <c r="E119" i="2"/>
  <c r="L256" i="1"/>
  <c r="G257" i="1"/>
  <c r="G271" i="1"/>
  <c r="D7" i="13"/>
  <c r="C7" i="13"/>
  <c r="K257" i="1"/>
  <c r="K271" i="1"/>
  <c r="D5" i="13"/>
  <c r="C5" i="13"/>
  <c r="C91" i="2"/>
  <c r="C70" i="2"/>
  <c r="J644" i="1"/>
  <c r="J624" i="1"/>
  <c r="H52" i="1"/>
  <c r="H619" i="1"/>
  <c r="J617" i="1"/>
  <c r="D18" i="2"/>
  <c r="E57" i="2"/>
  <c r="E62" i="2"/>
  <c r="E63" i="2"/>
  <c r="H112" i="1"/>
  <c r="C35" i="10"/>
  <c r="C56" i="2"/>
  <c r="E118" i="2"/>
  <c r="L290" i="1"/>
  <c r="C10" i="10"/>
  <c r="E109" i="2"/>
  <c r="E115" i="2"/>
  <c r="H661" i="1"/>
  <c r="D29" i="13"/>
  <c r="C29" i="13"/>
  <c r="F661" i="1"/>
  <c r="C122" i="2"/>
  <c r="E13" i="13"/>
  <c r="C13" i="13"/>
  <c r="C19" i="10"/>
  <c r="H25" i="13"/>
  <c r="J645" i="1"/>
  <c r="H169" i="1"/>
  <c r="L393" i="1"/>
  <c r="C138" i="2"/>
  <c r="D127" i="2"/>
  <c r="D128" i="2"/>
  <c r="D145" i="2"/>
  <c r="C18" i="10"/>
  <c r="L229" i="1"/>
  <c r="G660" i="1"/>
  <c r="G664" i="1"/>
  <c r="F112" i="1"/>
  <c r="J641" i="1"/>
  <c r="F571" i="1"/>
  <c r="L560" i="1"/>
  <c r="E142" i="2"/>
  <c r="C132" i="2"/>
  <c r="I551" i="1"/>
  <c r="K551" i="1"/>
  <c r="L539" i="1"/>
  <c r="G549" i="1"/>
  <c r="L529" i="1"/>
  <c r="E134" i="2"/>
  <c r="L351" i="1"/>
  <c r="F130" i="2"/>
  <c r="F144" i="2" s="1"/>
  <c r="F145" i="2" s="1"/>
  <c r="E33" i="13"/>
  <c r="D35" i="13"/>
  <c r="J625" i="1"/>
  <c r="H663" i="1"/>
  <c r="L614" i="1"/>
  <c r="F22" i="13"/>
  <c r="C22" i="13"/>
  <c r="E130" i="2"/>
  <c r="E144" i="2"/>
  <c r="E122" i="2"/>
  <c r="C21" i="10"/>
  <c r="H647" i="1"/>
  <c r="F662" i="1"/>
  <c r="I662" i="1"/>
  <c r="C124" i="2"/>
  <c r="G649" i="1"/>
  <c r="J649" i="1"/>
  <c r="D15" i="13"/>
  <c r="C15" i="13"/>
  <c r="C118" i="2"/>
  <c r="D6" i="13"/>
  <c r="C6" i="13"/>
  <c r="C15" i="10"/>
  <c r="C12" i="10"/>
  <c r="C111" i="2"/>
  <c r="J545" i="1"/>
  <c r="L427" i="1"/>
  <c r="E103" i="2"/>
  <c r="L211" i="1"/>
  <c r="A13" i="12"/>
  <c r="D17" i="13"/>
  <c r="C17" i="13"/>
  <c r="D14" i="13"/>
  <c r="C14" i="13"/>
  <c r="L247" i="1"/>
  <c r="H660" i="1"/>
  <c r="C17" i="10"/>
  <c r="J651" i="1"/>
  <c r="J639" i="1"/>
  <c r="K598" i="1"/>
  <c r="G647" i="1"/>
  <c r="J647" i="1"/>
  <c r="K571" i="1"/>
  <c r="L534" i="1"/>
  <c r="H257" i="1"/>
  <c r="H271" i="1"/>
  <c r="J257" i="1"/>
  <c r="J271" i="1"/>
  <c r="I52" i="1"/>
  <c r="H620" i="1"/>
  <c r="G625" i="1"/>
  <c r="B164" i="2"/>
  <c r="G164" i="2"/>
  <c r="K503" i="1"/>
  <c r="C123" i="2"/>
  <c r="C114" i="2"/>
  <c r="C78" i="2"/>
  <c r="C18" i="2"/>
  <c r="L270" i="1"/>
  <c r="L544" i="1"/>
  <c r="L524" i="1"/>
  <c r="J338" i="1"/>
  <c r="J352" i="1"/>
  <c r="C120" i="2"/>
  <c r="C13" i="10"/>
  <c r="L382" i="1"/>
  <c r="G636" i="1"/>
  <c r="J636" i="1"/>
  <c r="K352" i="1"/>
  <c r="C62" i="2"/>
  <c r="C29" i="10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F50" i="2"/>
  <c r="C24" i="10"/>
  <c r="G31" i="13"/>
  <c r="G33" i="13"/>
  <c r="I338" i="1"/>
  <c r="I352" i="1"/>
  <c r="J650" i="1"/>
  <c r="L407" i="1"/>
  <c r="C140" i="2"/>
  <c r="C141" i="2"/>
  <c r="C144" i="2"/>
  <c r="L571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G169" i="1"/>
  <c r="G140" i="1"/>
  <c r="F140" i="1"/>
  <c r="G63" i="2"/>
  <c r="J618" i="1"/>
  <c r="G42" i="2"/>
  <c r="G50" i="2"/>
  <c r="G51" i="2"/>
  <c r="J51" i="1"/>
  <c r="G16" i="2"/>
  <c r="J19" i="1"/>
  <c r="G621" i="1"/>
  <c r="G18" i="2"/>
  <c r="F545" i="1"/>
  <c r="H434" i="1"/>
  <c r="J620" i="1"/>
  <c r="J619" i="1"/>
  <c r="D103" i="2"/>
  <c r="D104" i="2"/>
  <c r="I140" i="1"/>
  <c r="A22" i="12"/>
  <c r="J652" i="1"/>
  <c r="J642" i="1"/>
  <c r="G571" i="1"/>
  <c r="I434" i="1"/>
  <c r="G434" i="1"/>
  <c r="I663" i="1"/>
  <c r="C27" i="10"/>
  <c r="G635" i="1"/>
  <c r="J635" i="1"/>
  <c r="L257" i="1"/>
  <c r="L271" i="1"/>
  <c r="G632" i="1"/>
  <c r="J632" i="1"/>
  <c r="L545" i="1"/>
  <c r="I661" i="1"/>
  <c r="C36" i="10"/>
  <c r="I193" i="1"/>
  <c r="G630" i="1"/>
  <c r="J630" i="1"/>
  <c r="G104" i="2"/>
  <c r="H193" i="1"/>
  <c r="G629" i="1"/>
  <c r="J629" i="1"/>
  <c r="F51" i="2"/>
  <c r="H646" i="1"/>
  <c r="J646" i="1"/>
  <c r="H664" i="1"/>
  <c r="H672" i="1"/>
  <c r="C6" i="10"/>
  <c r="E128" i="2"/>
  <c r="E145" i="2"/>
  <c r="C115" i="2"/>
  <c r="C128" i="2"/>
  <c r="E104" i="2"/>
  <c r="C81" i="2"/>
  <c r="C63" i="2"/>
  <c r="F193" i="1"/>
  <c r="G627" i="1"/>
  <c r="J627" i="1"/>
  <c r="H667" i="1"/>
  <c r="G672" i="1"/>
  <c r="C5" i="10"/>
  <c r="G667" i="1"/>
  <c r="C25" i="13"/>
  <c r="H33" i="13"/>
  <c r="F660" i="1"/>
  <c r="H648" i="1"/>
  <c r="J648" i="1"/>
  <c r="C39" i="10"/>
  <c r="C28" i="10"/>
  <c r="D24" i="10"/>
  <c r="D31" i="13"/>
  <c r="C31" i="13"/>
  <c r="F33" i="13"/>
  <c r="I552" i="1"/>
  <c r="L338" i="1"/>
  <c r="L352" i="1"/>
  <c r="G633" i="1"/>
  <c r="J633" i="1"/>
  <c r="G552" i="1"/>
  <c r="K549" i="1"/>
  <c r="K552" i="1"/>
  <c r="C51" i="2"/>
  <c r="G631" i="1"/>
  <c r="J631" i="1"/>
  <c r="D33" i="13"/>
  <c r="D36" i="13"/>
  <c r="G193" i="1"/>
  <c r="G628" i="1"/>
  <c r="J628" i="1"/>
  <c r="G626" i="1"/>
  <c r="J626" i="1"/>
  <c r="J52" i="1"/>
  <c r="H621" i="1"/>
  <c r="J621" i="1"/>
  <c r="C38" i="10"/>
  <c r="C145" i="2"/>
  <c r="D23" i="10"/>
  <c r="D10" i="10"/>
  <c r="D16" i="10"/>
  <c r="D26" i="10"/>
  <c r="C30" i="10"/>
  <c r="C104" i="2"/>
  <c r="D25" i="10"/>
  <c r="D13" i="10"/>
  <c r="D11" i="10"/>
  <c r="D21" i="10"/>
  <c r="D22" i="10"/>
  <c r="D20" i="10"/>
  <c r="D15" i="10"/>
  <c r="D19" i="10"/>
  <c r="D27" i="10"/>
  <c r="D18" i="10"/>
  <c r="D17" i="10"/>
  <c r="D12" i="10"/>
  <c r="F664" i="1"/>
  <c r="I660" i="1"/>
  <c r="I664" i="1"/>
  <c r="H656" i="1"/>
  <c r="C41" i="10"/>
  <c r="D38" i="10"/>
  <c r="I667" i="1"/>
  <c r="D28" i="10"/>
  <c r="F672" i="1"/>
  <c r="C4" i="10" s="1"/>
  <c r="F667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<sst xmlns="http://schemas.openxmlformats.org/spreadsheetml/2006/main" count="3957" uniqueCount="913">
  <si>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</si>
  <si>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</si>
  <si>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</si>
  <si>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</si>
  <si>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</si>
  <si>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</si>
  <si>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</si>
  <si>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</si>
  <si>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</si>
  <si>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</si>
  <si>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</si>
  <si>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</si>
  <si>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</si>
  <si>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</si>
  <si>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</si>
  <si>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</si>
  <si>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</si>
  <si>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</si>
  <si>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</si>
  <si>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</si>
  <si>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</si>
  <si>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</si>
  <si>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</si>
  <si>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</si>
  <si>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</si>
  <si>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</si>
  <si>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</si>
  <si>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</si>
  <si>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</si>
  <si>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</si>
  <si>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</si>
  <si>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</si>
  <si>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</si>
  <si>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</si>
  <si>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</si>
  <si>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</si>
  <si>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</si>
  <si>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</si>
  <si>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</si>
  <si>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</si>
  <si>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</si>
  <si>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</si>
  <si>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</si>
  <si>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</si>
  <si>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</si>
  <si>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</si>
  <si>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</si>
  <si>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</si>
  <si>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</si>
  <si>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</si>
  <si>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</si>
  <si>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</si>
  <si>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</si>
  <si>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</si>
  <si>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</si>
  <si>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</si>
  <si>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</si>
  <si>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</si>
  <si>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</si>
  <si>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</si>
  <si>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</si>
  <si>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</si>
  <si>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</si>
  <si>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</si>
  <si>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</si>
  <si>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</si>
  <si>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</si>
  <si>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</si>
  <si>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</si>
  <si>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</si>
  <si>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</si>
  <si>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</si>
  <si>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</si>
  <si>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</si>
  <si>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</si>
  <si>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</si>
  <si>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</si>
  <si>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</si>
  <si>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</si>
  <si>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</si>
  <si>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</si>
  <si>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</si>
  <si>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</si>
  <si>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</si>
  <si>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</si>
  <si>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</si>
  <si>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</si>
  <si>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</si>
  <si>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</si>
  <si>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</si>
  <si>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</si>
  <si>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</si>
  <si>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</si>
  <si>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</si>
  <si>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</si>
  <si>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</si>
  <si>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</si>
  <si>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</si>
  <si>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</si>
  <si>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</si>
  <si>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</si>
  <si>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</si>
  <si>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</si>
  <si>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</si>
  <si>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</si>
  <si>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</si>
  <si>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</si>
  <si>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</si>
  <si>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</si>
  <si>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</si>
  <si>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</si>
  <si>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</si>
  <si>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</si>
  <si>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</si>
  <si>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</si>
  <si>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</si>
  <si>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</si>
  <si>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</si>
  <si>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</si>
  <si>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</si>
  <si>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</si>
  <si>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</si>
  <si>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</si>
  <si>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</si>
  <si>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</si>
  <si>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</si>
  <si>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</si>
  <si>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</si>
  <si>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</si>
  <si>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</si>
  <si>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</si>
  <si>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</si>
  <si>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</si>
  <si>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</si>
  <si>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</si>
  <si>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</si>
  <si>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</si>
  <si>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</si>
  <si>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</si>
  <si>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</si>
  <si>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</si>
  <si>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</si>
  <si>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</si>
  <si>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</si>
  <si>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</si>
  <si>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</si>
  <si>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</si>
  <si>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</si>
  <si>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</si>
  <si>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</si>
  <si>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</si>
  <si>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</si>
  <si>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</si>
  <si>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</si>
  <si>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</si>
  <si>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</si>
  <si>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</si>
  <si>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</si>
  <si>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</si>
  <si>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</si>
  <si>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</si>
  <si>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</si>
  <si>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</si>
  <si>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</si>
  <si>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</si>
  <si>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</si>
  <si>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</si>
  <si>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</si>
  <si>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</si>
  <si>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</si>
  <si>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</si>
  <si>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</si>
  <si>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</si>
  <si>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</si>
  <si>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</si>
  <si>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</si>
  <si>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</si>
  <si>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</si>
  <si>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</si>
  <si>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</si>
  <si>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</si>
  <si>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</si>
  <si>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</si>
  <si>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</si>
  <si>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</si>
  <si>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</si>
  <si>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</si>
  <si>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</si>
  <si>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</si>
  <si>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</si>
  <si>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</si>
  <si>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</si>
  <si>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</si>
  <si>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</si>
  <si>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</si>
  <si>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</si>
  <si>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</si>
  <si>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</si>
  <si>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</si>
  <si>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</si>
  <si>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</si>
  <si>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</si>
  <si>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</si>
  <si>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</si>
  <si>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</si>
  <si>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</si>
  <si>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</si>
  <si>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</si>
  <si>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</si>
  <si>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</si>
  <si>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</si>
  <si>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</si>
  <si>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</si>
  <si>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</si>
  <si>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</si>
  <si>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</si>
  <si>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</si>
  <si>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</si>
  <si>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</si>
  <si>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</si>
  <si>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</si>
  <si>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</si>
  <si>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</si>
  <si>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</si>
  <si>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</si>
  <si>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</si>
  <si>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</si>
  <si>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</si>
  <si>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</si>
  <si>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</si>
  <si>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</si>
  <si>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</si>
  <si>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</si>
  <si>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</si>
  <si>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</si>
  <si>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</si>
  <si>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</si>
  <si>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</si>
  <si>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</si>
  <si>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</si>
  <si>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</si>
  <si>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</si>
  <si>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</si>
  <si>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</si>
  <si>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</si>
  <si>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</si>
  <si>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</si>
  <si>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</si>
  <si>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</si>
  <si>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</si>
  <si>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</si>
  <si>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</si>
  <si>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</si>
  <si>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</si>
  <si>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</si>
  <si>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</si>
  <si>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</si>
  <si>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</si>
  <si>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</si>
  <si>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</si>
  <si>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</si>
  <si>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</si>
  <si>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</si>
  <si>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</si>
  <si>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</si>
  <si>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</si>
  <si>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</si>
  <si>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</si>
  <si>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</si>
  <si>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</si>
  <si>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</si>
  <si>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</si>
  <si>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</si>
  <si>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</si>
  <si>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</si>
  <si>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</si>
  <si>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</si>
  <si>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</si>
  <si>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</si>
  <si>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</si>
  <si>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</si>
  <si>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</si>
  <si>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</si>
  <si>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</si>
  <si>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</si>
  <si>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</si>
  <si>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</si>
  <si>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</si>
  <si>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</si>
  <si>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</si>
  <si>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</si>
  <si>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</si>
  <si>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</si>
  <si>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</si>
  <si>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</si>
  <si>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</si>
  <si>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</si>
  <si>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</si>
  <si>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</si>
  <si>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</si>
  <si>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</si>
  <si>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</si>
  <si>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</si>
  <si>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</si>
  <si>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</si>
  <si>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</si>
  <si>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</si>
  <si>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</si>
  <si>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</si>
  <si>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</si>
  <si>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</si>
  <si>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</si>
  <si>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</si>
  <si>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</si>
  <si>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</si>
  <si>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</si>
  <si>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</si>
  <si>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</si>
  <si>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</si>
  <si>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</si>
  <si>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</si>
  <si>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</si>
  <si>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</si>
  <si>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</si>
  <si>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</si>
  <si>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</si>
  <si>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</si>
  <si>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</si>
  <si>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</si>
  <si>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</si>
  <si>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</si>
  <si>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</si>
  <si>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</si>
  <si>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</si>
  <si>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</si>
  <si>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</si>
  <si>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</si>
  <si>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</si>
  <si>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</si>
  <si>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</si>
  <si>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</si>
  <si>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</si>
  <si>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</si>
  <si>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</si>
  <si>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</si>
  <si>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</si>
  <si>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</si>
  <si>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</si>
  <si>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</si>
  <si>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</si>
  <si>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</si>
  <si>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</si>
  <si>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</si>
  <si>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</si>
  <si>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</si>
  <si>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</si>
  <si>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</si>
  <si>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</si>
  <si>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</si>
  <si>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</si>
  <si>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</si>
  <si>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</si>
  <si>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</si>
  <si>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</si>
  <si>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</si>
  <si>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</si>
  <si>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</si>
  <si>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</si>
  <si>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</si>
  <si>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</si>
  <si>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</si>
  <si>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</si>
  <si>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</si>
  <si>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</si>
  <si>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</si>
  <si>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</si>
  <si>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</si>
  <si>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</si>
  <si>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</si>
  <si>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</si>
  <si>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</si>
  <si>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</si>
  <si>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</si>
  <si>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</si>
  <si>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</si>
  <si>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</si>
  <si>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</si>
  <si>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</si>
  <si>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</si>
  <si>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</si>
  <si>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</si>
  <si>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</si>
  <si>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</si>
  <si>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</si>
  <si>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</si>
  <si>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</si>
  <si>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</si>
  <si>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</si>
  <si>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</si>
  <si>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</si>
  <si>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</si>
  <si>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</si>
  <si>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</si>
  <si>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</si>
  <si>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</si>
  <si>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</si>
  <si>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</si>
  <si>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</si>
  <si>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</si>
  <si>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</si>
  <si>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</si>
  <si>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</si>
  <si>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</si>
  <si>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</si>
  <si>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</si>
  <si>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</si>
  <si>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</si>
  <si>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</si>
  <si>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</si>
  <si>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</si>
  <si>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</si>
  <si>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</si>
  <si>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</si>
  <si>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</si>
  <si>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</si>
  <si>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</si>
  <si>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</si>
  <si>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</si>
  <si>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</si>
  <si>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</si>
  <si>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</si>
  <si>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</si>
  <si>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</si>
  <si>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</si>
  <si>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</si>
  <si>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</si>
  <si>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</si>
  <si>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</si>
  <si>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</si>
  <si>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</si>
  <si>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</si>
  <si>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</si>
  <si>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</si>
  <si>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</si>
  <si>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</si>
  <si>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</si>
  <si>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</si>
  <si>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</si>
  <si>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</si>
  <si>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</si>
  <si>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</si>
  <si>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</si>
  <si>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</si>
  <si>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</si>
  <si>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</si>
  <si>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</si>
  <si>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</si>
  <si>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</si>
  <si>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</si>
  <si>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</si>
  <si>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</si>
  <si>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</si>
  <si>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</si>
  <si>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</si>
  <si>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</si>
  <si>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</si>
  <si>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</si>
  <si>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</si>
  <si>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</si>
  <si>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</si>
  <si>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</si>
  <si>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</si>
  <si>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</si>
  <si>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</si>
  <si>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</si>
  <si>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</si>
  <si>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</si>
  <si>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</si>
  <si>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</si>
  <si>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</si>
  <si>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</si>
  <si>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</si>
  <si>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</si>
  <si>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</si>
  <si>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</si>
  <si>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</si>
  <si>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</si>
  <si>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</si>
  <si>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</si>
  <si>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</si>
  <si>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</si>
  <si>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</si>
  <si>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</si>
  <si>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</si>
  <si>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</si>
  <si>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</si>
  <si>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</si>
  <si>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</si>
  <si>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</si>
  <si>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</si>
  <si>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</si>
  <si>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</si>
  <si>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</si>
  <si>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</si>
  <si>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</si>
  <si>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</si>
  <si>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</si>
  <si>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</si>
  <si>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</si>
  <si>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</si>
  <si>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</si>
  <si>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</si>
  <si>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</si>
  <si>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</si>
  <si>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</si>
  <si>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</si>
  <si>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</si>
  <si>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</si>
  <si>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</si>
  <si>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</si>
  <si>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</si>
  <si>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</si>
  <si>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</si>
  <si>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</si>
  <si>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</si>
  <si>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</si>
  <si>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</si>
  <si>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</si>
  <si>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</si>
  <si>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</si>
  <si>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</si>
  <si>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</si>
  <si>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</si>
  <si>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</si>
  <si>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</si>
  <si>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</si>
  <si>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</si>
  <si>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</si>
  <si>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</si>
  <si>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</si>
  <si>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</si>
  <si>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</si>
  <si>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</si>
  <si>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</si>
  <si>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</si>
  <si>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</si>
  <si>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</si>
  <si>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</si>
  <si>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</si>
  <si>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</si>
  <si>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</si>
  <si>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</si>
  <si>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</si>
  <si>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</si>
  <si>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</si>
  <si>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</si>
  <si>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</si>
  <si>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</si>
  <si>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</si>
  <si>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</si>
  <si>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</si>
  <si>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</si>
  <si>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</si>
  <si>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</si>
  <si>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</si>
  <si>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</si>
  <si>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</si>
  <si>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</si>
  <si>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</si>
  <si>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</si>
  <si>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</si>
  <si>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</si>
  <si>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</si>
  <si>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</si>
  <si>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</si>
  <si>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</si>
  <si>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</si>
  <si>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</si>
  <si>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</si>
  <si>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</si>
  <si>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</si>
  <si>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</si>
  <si>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</si>
  <si>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</si>
  <si>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</si>
  <si>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</si>
  <si>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</si>
  <si>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</si>
  <si>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</si>
  <si>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</si>
  <si>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</si>
  <si>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</si>
  <si>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</si>
  <si>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</si>
  <si>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</si>
  <si>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</si>
  <si>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</si>
  <si>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</si>
  <si>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</si>
  <si>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</si>
  <si>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</si>
  <si>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</si>
  <si>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</si>
  <si>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</si>
  <si>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</si>
  <si>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</si>
  <si>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</si>
  <si>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</si>
  <si>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</si>
  <si>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</si>
  <si>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</si>
  <si>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</si>
  <si>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</si>
  <si>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</si>
  <si>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</si>
  <si>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</si>
  <si>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</si>
  <si>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</si>
  <si>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</si>
  <si>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</si>
  <si>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</si>
  <si>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</si>
  <si>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</si>
  <si>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</si>
  <si>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</si>
  <si>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</si>
  <si>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</si>
  <si>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</si>
  <si>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</si>
  <si>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</si>
  <si>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</si>
  <si>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</si>
  <si>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</si>
  <si>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</si>
  <si>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</si>
  <si>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</si>
  <si>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</si>
  <si>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</si>
  <si>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</si>
  <si>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</si>
  <si>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</si>
  <si>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</si>
  <si>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</si>
  <si>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</si>
  <si>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</si>
  <si>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</si>
  <si>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</si>
  <si>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</si>
  <si>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</si>
  <si>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</si>
  <si>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</si>
  <si>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</si>
  <si>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</si>
  <si>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</si>
  <si>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</si>
  <si>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</si>
  <si>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</si>
  <si>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</si>
  <si>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</si>
  <si>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</si>
  <si>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</si>
  <si>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</si>
  <si>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</si>
  <si>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</si>
  <si>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</si>
  <si>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</si>
  <si>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</si>
  <si>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</si>
  <si>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</si>
  <si>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</si>
  <si>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</si>
  <si>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</si>
  <si>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</si>
  <si>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</si>
  <si>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</si>
  <si>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</si>
  <si>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</si>
  <si>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</si>
  <si>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</si>
  <si>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</si>
  <si>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</si>
  <si>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</si>
  <si>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</si>
  <si>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</si>
  <si>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</si>
  <si>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</si>
  <si>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</si>
  <si>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</si>
  <si>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</si>
  <si>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</si>
  <si>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</si>
  <si>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</si>
  <si>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</si>
  <si>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</si>
  <si>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</si>
  <si>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</si>
  <si>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</si>
  <si>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</si>
  <si>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</si>
  <si>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</si>
  <si>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</si>
  <si>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</si>
  <si>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</si>
  <si>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</si>
  <si>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</si>
  <si>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</si>
  <si>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</si>
  <si>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</si>
  <si>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</si>
  <si>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</si>
  <si>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</si>
  <si>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</si>
  <si>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</si>
  <si>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</si>
  <si>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</si>
  <si>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</si>
  <si>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</si>
  <si>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</si>
  <si>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</si>
  <si>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</si>
  <si>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</si>
  <si>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</si>
  <si>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</si>
  <si>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</si>
  <si>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</si>
  <si>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</si>
  <si>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</si>
  <si>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</si>
  <si>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</si>
  <si>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</si>
  <si>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</si>
  <si>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</si>
  <si>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</si>
  <si>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</si>
  <si>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</si>
  <si>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</si>
  <si>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</si>
  <si>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</si>
  <si>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</si>
  <si>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</si>
  <si>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</si>
  <si>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</si>
  <si>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</si>
  <si>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</si>
  <si>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</si>
  <si>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</si>
  <si>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</si>
  <si>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</si>
  <si>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</si>
  <si>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</si>
  <si>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</si>
  <si>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</si>
  <si>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</si>
  <si>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</si>
  <si>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</si>
  <si>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</si>
  <si>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</si>
  <si>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</si>
  <si>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</si>
  <si>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</si>
  <si>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</si>
  <si>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</si>
  <si>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</si>
  <si>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</si>
  <si>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</si>
  <si>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</si>
  <si>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</si>
  <si>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</si>
  <si>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</si>
  <si>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</si>
  <si>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</si>
  <si>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</si>
  <si>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</si>
  <si>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</si>
  <si>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</si>
  <si>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</si>
  <si>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</si>
  <si>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</si>
  <si>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</si>
  <si>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</si>
  <si>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</si>
  <si>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</si>
  <si>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</si>
  <si>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</si>
  <si>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</si>
  <si>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</si>
  <si>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</si>
  <si>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</si>
  <si>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</si>
  <si>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</si>
  <si>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</si>
  <si>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</si>
  <si>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</si>
  <si>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</si>
  <si>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</si>
  <si>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</si>
  <si>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</si>
  <si>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</si>
  <si>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</si>
  <si>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</si>
  <si>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</si>
  <si>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</si>
  <si>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</si>
  <si>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</si>
  <si>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</si>
  <si>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</si>
  <si>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</si>
  <si>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</si>
  <si>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</si>
  <si>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</si>
  <si>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</si>
  <si>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</si>
  <si>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</si>
  <si>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</si>
  <si>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</si>
  <si>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</si>
  <si>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</si>
  <si>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</si>
  <si>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</si>
  <si>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</si>
  <si>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</si>
  <si>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</si>
  <si>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</si>
  <si>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</si>
  <si>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</si>
  <si>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</si>
  <si>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</si>
  <si>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</si>
  <si>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</si>
  <si>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</si>
  <si>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</si>
  <si>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</si>
  <si>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</si>
  <si>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</si>
  <si>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</si>
  <si>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</si>
  <si>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</si>
  <si>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</si>
  <si>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</si>
  <si>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</si>
  <si>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</si>
  <si>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</si>
  <si>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</si>
  <si>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</si>
  <si>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</si>
  <si>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</si>
  <si>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</si>
  <si>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</si>
  <si>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</si>
  <si>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</si>
  <si>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</si>
  <si>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</si>
  <si>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</si>
  <si>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</si>
  <si>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</si>
  <si>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</si>
  <si>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</si>
  <si>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</si>
  <si>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</si>
  <si>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</si>
  <si>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</si>
  <si>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</si>
  <si>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</si>
  <si>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</si>
  <si>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</si>
  <si>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</si>
  <si>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</si>
  <si>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</si>
  <si>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</si>
  <si>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</si>
  <si>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</si>
  <si>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</si>
  <si>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</si>
  <si>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</si>
  <si>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</si>
  <si>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</si>
  <si>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</si>
  <si>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</si>
  <si>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</si>
  <si>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</si>
  <si>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</si>
  <si>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</si>
  <si>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</si>
  <si>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</si>
  <si>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</si>
  <si>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</si>
  <si>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</si>
  <si>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</si>
  <si>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</si>
  <si>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</si>
  <si>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</si>
  <si>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</si>
  <si>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</si>
  <si>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</si>
  <si>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</si>
  <si>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</si>
  <si>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</si>
  <si>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</si>
  <si>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</si>
  <si>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</si>
  <si>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</si>
  <si>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</si>
  <si>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</si>
  <si>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</si>
  <si>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</si>
  <si>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</si>
  <si>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</si>
  <si>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</si>
  <si>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</si>
  <si>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</si>
  <si>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</si>
  <si>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</si>
  <si>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Plymouth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</si>
</sst>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447</v>
      </c>
      <c r="C2" s="21">
        <v>447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131237.18</v>
      </c>
      <c r="G9" s="18">
        <v>-33693.94</v>
      </c>
      <c r="H9" s="18">
        <v>-23246.22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62060.05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55334.22</v>
      </c>
      <c r="G12" s="18">
        <v>7132.63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3296.62</v>
      </c>
      <c r="G13" s="18"/>
      <c r="H13" s="18">
        <v>23209.97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25951.15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4717.2299999999996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194585.25</v>
      </c>
      <c r="G19" s="41">
        <f>SUM(G9:G18)</f>
        <v>-610.15999999999985</v>
      </c>
      <c r="H19" s="41">
        <f>SUM(H9:H18)</f>
        <v>-36.25</v>
      </c>
      <c r="I19" s="41">
        <f>SUM(I9:I18)</f>
        <v>0</v>
      </c>
      <c r="J19" s="41">
        <f>SUM(J9:J18)</f>
        <v>62060.05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63534.59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4768.99</v>
      </c>
      <c r="G30" s="18"/>
      <c r="H30" s="18">
        <v>193.35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68303.58</v>
      </c>
      <c r="G32" s="41">
        <f>SUM(G22:G31)</f>
        <v>0</v>
      </c>
      <c r="H32" s="41">
        <f>SUM(H22:H31)</f>
        <v>193.35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-610.16</v>
      </c>
      <c r="H48" s="18">
        <v>-229.6</v>
      </c>
      <c r="I48" s="18"/>
      <c r="J48" s="13">
        <f>SUM(I459)</f>
        <v>62060.05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126281.67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126281.67</v>
      </c>
      <c r="G51" s="41">
        <f>SUM(G35:G50)</f>
        <v>-610.16</v>
      </c>
      <c r="H51" s="41">
        <f>SUM(H35:H50)</f>
        <v>-229.6</v>
      </c>
      <c r="I51" s="41">
        <f>SUM(I35:I50)</f>
        <v>0</v>
      </c>
      <c r="J51" s="41">
        <f>SUM(J35:J50)</f>
        <v>62060.05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194585.25</v>
      </c>
      <c r="G52" s="41">
        <f>G51+G32</f>
        <v>-610.16</v>
      </c>
      <c r="H52" s="41">
        <f>H51+H32</f>
        <v>-36.25</v>
      </c>
      <c r="I52" s="41">
        <f>I51+I32</f>
        <v>0</v>
      </c>
      <c r="J52" s="41">
        <f>J51+J32</f>
        <v>62060.05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4462944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4462944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23618.5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112000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174352.6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309971.09999999998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0.65</v>
      </c>
      <c r="G96" s="18"/>
      <c r="H96" s="18"/>
      <c r="I96" s="18"/>
      <c r="J96" s="18">
        <v>6.76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45567.6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288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87709.28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469.98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225052.78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313520.69</v>
      </c>
      <c r="G111" s="41">
        <f>SUM(G96:G110)</f>
        <v>45567.6</v>
      </c>
      <c r="H111" s="41">
        <f>SUM(H96:H110)</f>
        <v>0</v>
      </c>
      <c r="I111" s="41">
        <f>SUM(I96:I110)</f>
        <v>0</v>
      </c>
      <c r="J111" s="41">
        <f>SUM(J96:J110)</f>
        <v>6.76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5086435.79</v>
      </c>
      <c r="G112" s="41">
        <f>G60+G111</f>
        <v>45567.6</v>
      </c>
      <c r="H112" s="41">
        <f>H60+H79+H94+H111</f>
        <v>0</v>
      </c>
      <c r="I112" s="41">
        <f>I60+I111</f>
        <v>0</v>
      </c>
      <c r="J112" s="41">
        <f>J60+J111</f>
        <v>6.76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2103498.34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683887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7719.92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2795105.26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13382.1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1906.11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13382.1</v>
      </c>
      <c r="G136" s="41">
        <f>SUM(G123:G135)</f>
        <v>1906.11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2808487.36</v>
      </c>
      <c r="G140" s="41">
        <f>G121+SUM(G136:G137)</f>
        <v>1906.11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230745.02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84365.13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128691.96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25949.77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128691.96</v>
      </c>
      <c r="G162" s="41">
        <f>SUM(G150:G161)</f>
        <v>84365.13</v>
      </c>
      <c r="H162" s="41">
        <f>SUM(H150:H161)</f>
        <v>256694.78999999998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2293.73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130985.69</v>
      </c>
      <c r="G169" s="41">
        <f>G147+G162+SUM(G163:G168)</f>
        <v>84365.13</v>
      </c>
      <c r="H169" s="41">
        <f>H147+H162+SUM(H163:H168)</f>
        <v>256694.78999999998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8025908.8400000008</v>
      </c>
      <c r="G193" s="47">
        <f>G112+G140+G169+G192</f>
        <v>131838.84</v>
      </c>
      <c r="H193" s="47">
        <f>H112+H140+H169+H192</f>
        <v>256694.78999999998</v>
      </c>
      <c r="I193" s="47">
        <f>I112+I140+I169+I192</f>
        <v>0</v>
      </c>
      <c r="J193" s="47">
        <f>J112+J140+J192</f>
        <v>6.76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2161838.71</v>
      </c>
      <c r="G197" s="18">
        <v>1043468.2</v>
      </c>
      <c r="H197" s="18">
        <v>17230.39</v>
      </c>
      <c r="I197" s="18">
        <v>71443.06</v>
      </c>
      <c r="J197" s="18">
        <v>9328.6299999999992</v>
      </c>
      <c r="K197" s="18">
        <v>2003.5</v>
      </c>
      <c r="L197" s="19">
        <f>SUM(F197:K197)</f>
        <v>3305312.49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1056073.6299999999</v>
      </c>
      <c r="G198" s="18">
        <v>493550.69</v>
      </c>
      <c r="H198" s="18">
        <v>313697.46000000002</v>
      </c>
      <c r="I198" s="18">
        <v>1425.82</v>
      </c>
      <c r="J198" s="18">
        <v>557.94000000000005</v>
      </c>
      <c r="K198" s="18"/>
      <c r="L198" s="19">
        <f>SUM(F198:K198)</f>
        <v>1865305.5399999998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126243.22</v>
      </c>
      <c r="G200" s="18">
        <v>19260.900000000001</v>
      </c>
      <c r="H200" s="18">
        <v>15327.37</v>
      </c>
      <c r="I200" s="18">
        <v>3838.6</v>
      </c>
      <c r="J200" s="18">
        <v>5985.5</v>
      </c>
      <c r="K200" s="18">
        <v>2473.65</v>
      </c>
      <c r="L200" s="19">
        <f>SUM(F200:K200)</f>
        <v>173129.24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286901.23</v>
      </c>
      <c r="G202" s="18">
        <v>147028.53</v>
      </c>
      <c r="H202" s="18">
        <v>299976.78999999998</v>
      </c>
      <c r="I202" s="18">
        <v>1790.01</v>
      </c>
      <c r="J202" s="18"/>
      <c r="K202" s="18"/>
      <c r="L202" s="19">
        <f t="shared" ref="L202:L208" si="0">SUM(F202:K202)</f>
        <v>735696.56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57143.56</v>
      </c>
      <c r="G203" s="18">
        <v>112664.28</v>
      </c>
      <c r="H203" s="18">
        <v>252.46</v>
      </c>
      <c r="I203" s="18">
        <v>6276.5</v>
      </c>
      <c r="J203" s="18"/>
      <c r="K203" s="18"/>
      <c r="L203" s="19">
        <f t="shared" si="0"/>
        <v>176336.8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71560</v>
      </c>
      <c r="G204" s="18">
        <v>34953.620000000003</v>
      </c>
      <c r="H204" s="18">
        <v>272008.15000000002</v>
      </c>
      <c r="I204" s="18">
        <v>1454.8</v>
      </c>
      <c r="J204" s="18"/>
      <c r="K204" s="18">
        <v>3462.8</v>
      </c>
      <c r="L204" s="19">
        <f t="shared" si="0"/>
        <v>383439.37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270039.67999999999</v>
      </c>
      <c r="G205" s="18">
        <v>128077.07</v>
      </c>
      <c r="H205" s="18">
        <v>3375.58</v>
      </c>
      <c r="I205" s="18">
        <v>3424.21</v>
      </c>
      <c r="J205" s="18"/>
      <c r="K205" s="18">
        <v>1688</v>
      </c>
      <c r="L205" s="19">
        <f t="shared" si="0"/>
        <v>406604.54000000004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214377.51</v>
      </c>
      <c r="G207" s="18">
        <v>64408.82</v>
      </c>
      <c r="H207" s="18">
        <v>147447.79</v>
      </c>
      <c r="I207" s="18">
        <v>112013.92</v>
      </c>
      <c r="J207" s="18">
        <v>2824</v>
      </c>
      <c r="K207" s="18"/>
      <c r="L207" s="19">
        <f t="shared" si="0"/>
        <v>541072.04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277474.49</v>
      </c>
      <c r="I208" s="18"/>
      <c r="J208" s="18"/>
      <c r="K208" s="18"/>
      <c r="L208" s="19">
        <f t="shared" si="0"/>
        <v>277474.49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4244177.54</v>
      </c>
      <c r="G211" s="41">
        <f t="shared" si="1"/>
        <v>2043412.11</v>
      </c>
      <c r="H211" s="41">
        <f t="shared" si="1"/>
        <v>1346790.48</v>
      </c>
      <c r="I211" s="41">
        <f t="shared" si="1"/>
        <v>201666.92</v>
      </c>
      <c r="J211" s="41">
        <f t="shared" si="1"/>
        <v>18696.07</v>
      </c>
      <c r="K211" s="41">
        <f t="shared" si="1"/>
        <v>9627.9500000000007</v>
      </c>
      <c r="L211" s="41">
        <f t="shared" si="1"/>
        <v>7864371.0700000003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54513.38</v>
      </c>
      <c r="G253" s="18">
        <v>10829.77</v>
      </c>
      <c r="H253" s="18"/>
      <c r="I253" s="18">
        <v>170.6</v>
      </c>
      <c r="J253" s="18"/>
      <c r="K253" s="18"/>
      <c r="L253" s="19">
        <f t="shared" si="6"/>
        <v>65513.749999999993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40000</v>
      </c>
      <c r="I255" s="18"/>
      <c r="J255" s="18"/>
      <c r="K255" s="18"/>
      <c r="L255" s="19">
        <f t="shared" si="6"/>
        <v>40000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54513.38</v>
      </c>
      <c r="G256" s="41">
        <f t="shared" si="7"/>
        <v>10829.77</v>
      </c>
      <c r="H256" s="41">
        <f t="shared" si="7"/>
        <v>40000</v>
      </c>
      <c r="I256" s="41">
        <f t="shared" si="7"/>
        <v>170.6</v>
      </c>
      <c r="J256" s="41">
        <f t="shared" si="7"/>
        <v>0</v>
      </c>
      <c r="K256" s="41">
        <f t="shared" si="7"/>
        <v>0</v>
      </c>
      <c r="L256" s="41">
        <f>SUM(F256:K256)</f>
        <v>105513.75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4298690.92</v>
      </c>
      <c r="G257" s="41">
        <f t="shared" si="8"/>
        <v>2054241.8800000001</v>
      </c>
      <c r="H257" s="41">
        <f t="shared" si="8"/>
        <v>1386790.48</v>
      </c>
      <c r="I257" s="41">
        <f t="shared" si="8"/>
        <v>201837.52000000002</v>
      </c>
      <c r="J257" s="41">
        <f t="shared" si="8"/>
        <v>18696.07</v>
      </c>
      <c r="K257" s="41">
        <f t="shared" si="8"/>
        <v>9627.9500000000007</v>
      </c>
      <c r="L257" s="41">
        <f t="shared" si="8"/>
        <v>7969884.8200000003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4298690.92</v>
      </c>
      <c r="G271" s="42">
        <f t="shared" si="11"/>
        <v>2054241.8800000001</v>
      </c>
      <c r="H271" s="42">
        <f t="shared" si="11"/>
        <v>1386790.48</v>
      </c>
      <c r="I271" s="42">
        <f t="shared" si="11"/>
        <v>201837.52000000002</v>
      </c>
      <c r="J271" s="42">
        <f t="shared" si="11"/>
        <v>18696.07</v>
      </c>
      <c r="K271" s="42">
        <f t="shared" si="11"/>
        <v>9627.9500000000007</v>
      </c>
      <c r="L271" s="42">
        <f t="shared" si="11"/>
        <v>7969884.8200000003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73090.5</v>
      </c>
      <c r="G276" s="18">
        <v>27898.47</v>
      </c>
      <c r="H276" s="18">
        <v>3500</v>
      </c>
      <c r="I276" s="18">
        <v>16402.990000000002</v>
      </c>
      <c r="J276" s="18">
        <v>28459.74</v>
      </c>
      <c r="K276" s="18">
        <v>360</v>
      </c>
      <c r="L276" s="19">
        <f>SUM(F276:K276)</f>
        <v>149711.70000000001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v>35</v>
      </c>
      <c r="J277" s="18"/>
      <c r="K277" s="18"/>
      <c r="L277" s="19">
        <f>SUM(F277:K277)</f>
        <v>35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26924</v>
      </c>
      <c r="G279" s="18">
        <v>15790.29</v>
      </c>
      <c r="H279" s="18">
        <v>7672.5</v>
      </c>
      <c r="I279" s="18">
        <v>3674.9</v>
      </c>
      <c r="J279" s="18"/>
      <c r="K279" s="18"/>
      <c r="L279" s="19">
        <f>SUM(F279:K279)</f>
        <v>54061.69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7791.95</v>
      </c>
      <c r="G281" s="18">
        <v>4238.16</v>
      </c>
      <c r="H281" s="18"/>
      <c r="I281" s="18">
        <v>800</v>
      </c>
      <c r="J281" s="18"/>
      <c r="K281" s="18"/>
      <c r="L281" s="19">
        <f t="shared" ref="L281:L287" si="12">SUM(F281:K281)</f>
        <v>12830.11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8300</v>
      </c>
      <c r="G282" s="18">
        <v>2046.88</v>
      </c>
      <c r="H282" s="18">
        <v>8409.3700000000008</v>
      </c>
      <c r="I282" s="18"/>
      <c r="J282" s="18"/>
      <c r="K282" s="18">
        <v>2775</v>
      </c>
      <c r="L282" s="19">
        <f t="shared" si="12"/>
        <v>21531.25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8406.52</v>
      </c>
      <c r="G283" s="18"/>
      <c r="H283" s="18"/>
      <c r="I283" s="18"/>
      <c r="J283" s="18"/>
      <c r="K283" s="18"/>
      <c r="L283" s="19">
        <f t="shared" si="12"/>
        <v>8406.52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5597.13</v>
      </c>
      <c r="L285" s="19">
        <f t="shared" si="12"/>
        <v>5597.13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4521.3900000000003</v>
      </c>
      <c r="I287" s="18"/>
      <c r="J287" s="18"/>
      <c r="K287" s="18"/>
      <c r="L287" s="19">
        <f t="shared" si="12"/>
        <v>4521.3900000000003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124512.97</v>
      </c>
      <c r="G290" s="42">
        <f t="shared" si="13"/>
        <v>49973.799999999996</v>
      </c>
      <c r="H290" s="42">
        <f t="shared" si="13"/>
        <v>24103.260000000002</v>
      </c>
      <c r="I290" s="42">
        <f t="shared" si="13"/>
        <v>20912.890000000003</v>
      </c>
      <c r="J290" s="42">
        <f t="shared" si="13"/>
        <v>28459.74</v>
      </c>
      <c r="K290" s="42">
        <f t="shared" si="13"/>
        <v>8732.130000000001</v>
      </c>
      <c r="L290" s="41">
        <f t="shared" si="13"/>
        <v>256694.79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124512.97</v>
      </c>
      <c r="G338" s="41">
        <f t="shared" si="20"/>
        <v>49973.799999999996</v>
      </c>
      <c r="H338" s="41">
        <f t="shared" si="20"/>
        <v>24103.260000000002</v>
      </c>
      <c r="I338" s="41">
        <f t="shared" si="20"/>
        <v>20912.890000000003</v>
      </c>
      <c r="J338" s="41">
        <f t="shared" si="20"/>
        <v>28459.74</v>
      </c>
      <c r="K338" s="41">
        <f t="shared" si="20"/>
        <v>8732.130000000001</v>
      </c>
      <c r="L338" s="41">
        <f t="shared" si="20"/>
        <v>256694.79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124512.97</v>
      </c>
      <c r="G352" s="41">
        <f>G338</f>
        <v>49973.799999999996</v>
      </c>
      <c r="H352" s="41">
        <f>H338</f>
        <v>24103.260000000002</v>
      </c>
      <c r="I352" s="41">
        <f>I338</f>
        <v>20912.890000000003</v>
      </c>
      <c r="J352" s="41">
        <f>J338</f>
        <v>28459.74</v>
      </c>
      <c r="K352" s="47">
        <f>K338+K351</f>
        <v>8732.130000000001</v>
      </c>
      <c r="L352" s="41">
        <f>L338+L351</f>
        <v>256694.79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132449</v>
      </c>
      <c r="I358" s="18"/>
      <c r="J358" s="18"/>
      <c r="K358" s="18"/>
      <c r="L358" s="13">
        <f>SUM(F358:K358)</f>
        <v>132449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132449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132449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6.76</v>
      </c>
      <c r="I396" s="18"/>
      <c r="J396" s="24" t="s">
        <v>286</v>
      </c>
      <c r="K396" s="24" t="s">
        <v>286</v>
      </c>
      <c r="L396" s="56">
        <f t="shared" si="26"/>
        <v>6.76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6.76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6.76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6.76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6.76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62060.05</v>
      </c>
      <c r="H440" s="18"/>
      <c r="I440" s="56">
        <f t="shared" si="33"/>
        <v>62060.05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62060.05</v>
      </c>
      <c r="H446" s="13">
        <f>SUM(H439:H445)</f>
        <v>0</v>
      </c>
      <c r="I446" s="13">
        <f>SUM(I439:I445)</f>
        <v>62060.05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62060.05</v>
      </c>
      <c r="H459" s="18"/>
      <c r="I459" s="56">
        <f t="shared" si="34"/>
        <v>62060.05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62060.05</v>
      </c>
      <c r="H460" s="83">
        <f>SUM(H454:H459)</f>
        <v>0</v>
      </c>
      <c r="I460" s="83">
        <f>SUM(I454:I459)</f>
        <v>62060.05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62060.05</v>
      </c>
      <c r="H461" s="42">
        <f>H452+H460</f>
        <v>0</v>
      </c>
      <c r="I461" s="42">
        <f>I452+I460</f>
        <v>62060.05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70257.649999999994</v>
      </c>
      <c r="G465" s="18"/>
      <c r="H465" s="18">
        <v>-229.6</v>
      </c>
      <c r="I465" s="18"/>
      <c r="J465" s="18">
        <v>62053.29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8025908.8399999999</v>
      </c>
      <c r="G468" s="18">
        <v>131838.84</v>
      </c>
      <c r="H468" s="18">
        <v>256694.79</v>
      </c>
      <c r="I468" s="18"/>
      <c r="J468" s="18">
        <v>6.76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8025908.8399999999</v>
      </c>
      <c r="G470" s="53">
        <f>SUM(G468:G469)</f>
        <v>131838.84</v>
      </c>
      <c r="H470" s="53">
        <f>SUM(H468:H469)</f>
        <v>256694.79</v>
      </c>
      <c r="I470" s="53">
        <f>SUM(I468:I469)</f>
        <v>0</v>
      </c>
      <c r="J470" s="53">
        <f>SUM(J468:J469)</f>
        <v>6.76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7969884.8200000003</v>
      </c>
      <c r="G472" s="18">
        <v>132449</v>
      </c>
      <c r="H472" s="18">
        <v>256694.79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7969884.8200000003</v>
      </c>
      <c r="G474" s="53">
        <f>SUM(G472:G473)</f>
        <v>132449</v>
      </c>
      <c r="H474" s="53">
        <f>SUM(H472:H473)</f>
        <v>256694.79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126281.66999999993</v>
      </c>
      <c r="G476" s="53">
        <f>(G465+G470)- G474</f>
        <v>-610.16000000000349</v>
      </c>
      <c r="H476" s="53">
        <f>(H465+H470)- H474</f>
        <v>-229.60000000000582</v>
      </c>
      <c r="I476" s="53">
        <f>(I465+I470)- I474</f>
        <v>0</v>
      </c>
      <c r="J476" s="53">
        <f>(J465+J470)- J474</f>
        <v>62060.05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1056073.6299999999</v>
      </c>
      <c r="G521" s="18">
        <v>493550.69</v>
      </c>
      <c r="H521" s="18">
        <v>289389.96000000002</v>
      </c>
      <c r="I521" s="18">
        <v>1425.82</v>
      </c>
      <c r="J521" s="18">
        <v>557.94000000000005</v>
      </c>
      <c r="K521" s="18"/>
      <c r="L521" s="88">
        <f>SUM(F521:K521)</f>
        <v>1840998.0399999998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1056073.6299999999</v>
      </c>
      <c r="G524" s="108">
        <f t="shared" ref="G524:L524" si="36">SUM(G521:G523)</f>
        <v>493550.69</v>
      </c>
      <c r="H524" s="108">
        <f t="shared" si="36"/>
        <v>289389.96000000002</v>
      </c>
      <c r="I524" s="108">
        <f t="shared" si="36"/>
        <v>1425.82</v>
      </c>
      <c r="J524" s="108">
        <f t="shared" si="36"/>
        <v>557.94000000000005</v>
      </c>
      <c r="K524" s="108">
        <f t="shared" si="36"/>
        <v>0</v>
      </c>
      <c r="L524" s="89">
        <f t="shared" si="36"/>
        <v>1840998.0399999998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230799.59</v>
      </c>
      <c r="G526" s="18">
        <v>116465.55</v>
      </c>
      <c r="H526" s="18">
        <v>221853.84</v>
      </c>
      <c r="I526" s="18">
        <v>483.44</v>
      </c>
      <c r="J526" s="18"/>
      <c r="K526" s="18"/>
      <c r="L526" s="88">
        <f>SUM(F526:K526)</f>
        <v>569602.41999999993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230799.59</v>
      </c>
      <c r="G529" s="89">
        <f t="shared" ref="G529:L529" si="37">SUM(G526:G528)</f>
        <v>116465.55</v>
      </c>
      <c r="H529" s="89">
        <f t="shared" si="37"/>
        <v>221853.84</v>
      </c>
      <c r="I529" s="89">
        <f t="shared" si="37"/>
        <v>483.44</v>
      </c>
      <c r="J529" s="89">
        <f t="shared" si="37"/>
        <v>0</v>
      </c>
      <c r="K529" s="89">
        <f t="shared" si="37"/>
        <v>0</v>
      </c>
      <c r="L529" s="89">
        <f t="shared" si="37"/>
        <v>569602.41999999993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19795.91</v>
      </c>
      <c r="G531" s="18">
        <v>8792.6</v>
      </c>
      <c r="H531" s="18"/>
      <c r="I531" s="18"/>
      <c r="J531" s="18"/>
      <c r="K531" s="18"/>
      <c r="L531" s="88">
        <f>SUM(F531:K531)</f>
        <v>28588.510000000002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19795.91</v>
      </c>
      <c r="G534" s="89">
        <f t="shared" ref="G534:L534" si="38">SUM(G531:G533)</f>
        <v>8792.6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28588.510000000002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82200</v>
      </c>
      <c r="I541" s="18"/>
      <c r="J541" s="18"/>
      <c r="K541" s="18"/>
      <c r="L541" s="88">
        <f>SUM(F541:K541)</f>
        <v>82200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82200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82200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1306669.1299999999</v>
      </c>
      <c r="G545" s="89">
        <f t="shared" ref="G545:L545" si="41">G524+G529+G534+G539+G544</f>
        <v>618808.84</v>
      </c>
      <c r="H545" s="89">
        <f t="shared" si="41"/>
        <v>593443.80000000005</v>
      </c>
      <c r="I545" s="89">
        <f t="shared" si="41"/>
        <v>1909.26</v>
      </c>
      <c r="J545" s="89">
        <f t="shared" si="41"/>
        <v>557.94000000000005</v>
      </c>
      <c r="K545" s="89">
        <f t="shared" si="41"/>
        <v>0</v>
      </c>
      <c r="L545" s="89">
        <f t="shared" si="41"/>
        <v>2521388.9699999997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1840998.0399999998</v>
      </c>
      <c r="G549" s="87">
        <f>L526</f>
        <v>569602.41999999993</v>
      </c>
      <c r="H549" s="87">
        <f>L531</f>
        <v>28588.510000000002</v>
      </c>
      <c r="I549" s="87">
        <f>L536</f>
        <v>0</v>
      </c>
      <c r="J549" s="87">
        <f>L541</f>
        <v>82200</v>
      </c>
      <c r="K549" s="87">
        <f>SUM(F549:J549)</f>
        <v>2521388.9699999997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1840998.0399999998</v>
      </c>
      <c r="G552" s="89">
        <f t="shared" si="42"/>
        <v>569602.41999999993</v>
      </c>
      <c r="H552" s="89">
        <f t="shared" si="42"/>
        <v>28588.510000000002</v>
      </c>
      <c r="I552" s="89">
        <f t="shared" si="42"/>
        <v>0</v>
      </c>
      <c r="J552" s="89">
        <f t="shared" si="42"/>
        <v>82200</v>
      </c>
      <c r="K552" s="89">
        <f t="shared" si="42"/>
        <v>2521388.9699999997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>
        <v>24307.5</v>
      </c>
      <c r="I562" s="18"/>
      <c r="J562" s="18"/>
      <c r="K562" s="18"/>
      <c r="L562" s="88">
        <f>SUM(F562:K562)</f>
        <v>24307.5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24307.5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24307.5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24307.5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24307.5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198984.36</v>
      </c>
      <c r="G582" s="18"/>
      <c r="H582" s="18"/>
      <c r="I582" s="87">
        <f t="shared" si="47"/>
        <v>198984.36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155442.1</v>
      </c>
      <c r="I591" s="18"/>
      <c r="J591" s="18"/>
      <c r="K591" s="104">
        <f t="shared" ref="K591:K597" si="48">SUM(H591:J591)</f>
        <v>155442.1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82200</v>
      </c>
      <c r="I592" s="18"/>
      <c r="J592" s="18"/>
      <c r="K592" s="104">
        <f t="shared" si="48"/>
        <v>82200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17157.669999999998</v>
      </c>
      <c r="I594" s="18"/>
      <c r="J594" s="18"/>
      <c r="K594" s="104">
        <f t="shared" si="48"/>
        <v>17157.669999999998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22674.720000000001</v>
      </c>
      <c r="I595" s="18"/>
      <c r="J595" s="18"/>
      <c r="K595" s="104">
        <f t="shared" si="48"/>
        <v>22674.720000000001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277474.49</v>
      </c>
      <c r="I598" s="108">
        <f>SUM(I591:I597)</f>
        <v>0</v>
      </c>
      <c r="J598" s="108">
        <f>SUM(J591:J597)</f>
        <v>0</v>
      </c>
      <c r="K598" s="108">
        <f>SUM(K591:K597)</f>
        <v>277474.49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47155.81</v>
      </c>
      <c r="I604" s="18"/>
      <c r="J604" s="18"/>
      <c r="K604" s="104">
        <f>SUM(H604:J604)</f>
        <v>47155.81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47155.81</v>
      </c>
      <c r="I605" s="108">
        <f>SUM(I602:I604)</f>
        <v>0</v>
      </c>
      <c r="J605" s="108">
        <f>SUM(J602:J604)</f>
        <v>0</v>
      </c>
      <c r="K605" s="108">
        <f>SUM(K602:K604)</f>
        <v>47155.81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5485</v>
      </c>
      <c r="G611" s="18">
        <v>1298.29</v>
      </c>
      <c r="H611" s="18"/>
      <c r="I611" s="18">
        <v>1674.9</v>
      </c>
      <c r="J611" s="18"/>
      <c r="K611" s="18"/>
      <c r="L611" s="88">
        <f>SUM(F611:K611)</f>
        <v>8458.19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5485</v>
      </c>
      <c r="G614" s="108">
        <f t="shared" si="49"/>
        <v>1298.29</v>
      </c>
      <c r="H614" s="108">
        <f t="shared" si="49"/>
        <v>0</v>
      </c>
      <c r="I614" s="108">
        <f t="shared" si="49"/>
        <v>1674.9</v>
      </c>
      <c r="J614" s="108">
        <f t="shared" si="49"/>
        <v>0</v>
      </c>
      <c r="K614" s="108">
        <f t="shared" si="49"/>
        <v>0</v>
      </c>
      <c r="L614" s="89">
        <f t="shared" si="49"/>
        <v>8458.19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194585.25</v>
      </c>
      <c r="H617" s="109">
        <f>SUM(F52)</f>
        <v>194585.25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-610.15999999999985</v>
      </c>
      <c r="H618" s="109">
        <f>SUM(G52)</f>
        <v>-610.16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-36.25</v>
      </c>
      <c r="H619" s="109">
        <f>SUM(H52)</f>
        <v>-36.25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62060.05</v>
      </c>
      <c r="H621" s="109">
        <f>SUM(J52)</f>
        <v>62060.05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126281.67</v>
      </c>
      <c r="H622" s="109">
        <f>F476</f>
        <v>126281.66999999993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-610.16</v>
      </c>
      <c r="H623" s="109">
        <f>G476</f>
        <v>-610.16000000000349</v>
      </c>
      <c r="I623" s="121" t="s">
        <v>102</v>
      </c>
      <c r="J623" s="109">
        <f t="shared" si="50"/>
        <v>3.5242919693700969E-12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-229.6</v>
      </c>
      <c r="H624" s="109">
        <f>H476</f>
        <v>-229.60000000000582</v>
      </c>
      <c r="I624" s="121" t="s">
        <v>103</v>
      </c>
      <c r="J624" s="109">
        <f t="shared" si="50"/>
        <v>5.8264504332328215E-12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62060.05</v>
      </c>
      <c r="H626" s="109">
        <f>J476</f>
        <v>62060.05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8025908.8400000008</v>
      </c>
      <c r="H627" s="104">
        <f>SUM(F468)</f>
        <v>8025908.8399999999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131838.84</v>
      </c>
      <c r="H628" s="104">
        <f>SUM(G468)</f>
        <v>131838.84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256694.78999999998</v>
      </c>
      <c r="H629" s="104">
        <f>SUM(H468)</f>
        <v>256694.79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6.76</v>
      </c>
      <c r="H631" s="104">
        <f>SUM(J468)</f>
        <v>6.76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7969884.8200000003</v>
      </c>
      <c r="H632" s="104">
        <f>SUM(F472)</f>
        <v>7969884.8200000003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256694.79</v>
      </c>
      <c r="H633" s="104">
        <f>SUM(H472)</f>
        <v>256694.79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132449</v>
      </c>
      <c r="H635" s="104">
        <f>SUM(G472)</f>
        <v>132449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6.76</v>
      </c>
      <c r="H637" s="164">
        <f>SUM(J468)</f>
        <v>6.76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62060.05</v>
      </c>
      <c r="H640" s="104">
        <f>SUM(G461)</f>
        <v>62060.05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62060.05</v>
      </c>
      <c r="H642" s="104">
        <f>SUM(I461)</f>
        <v>62060.05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6.76</v>
      </c>
      <c r="H644" s="104">
        <f>H408</f>
        <v>6.76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6.76</v>
      </c>
      <c r="H646" s="104">
        <f>L408</f>
        <v>6.76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277474.49</v>
      </c>
      <c r="H647" s="104">
        <f>L208+L226+L244</f>
        <v>277474.49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47155.81</v>
      </c>
      <c r="H648" s="104">
        <f>(J257+J338)-(J255+J336)</f>
        <v>47155.81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277474.49</v>
      </c>
      <c r="H649" s="104">
        <f>H598</f>
        <v>277474.49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8253514.8600000003</v>
      </c>
      <c r="G660" s="19">
        <f>(L229+L309+L359)</f>
        <v>0</v>
      </c>
      <c r="H660" s="19">
        <f>(L247+L328+L360)</f>
        <v>0</v>
      </c>
      <c r="I660" s="19">
        <f>SUM(F660:H660)</f>
        <v>8253514.8600000003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45567.6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45567.6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281995.88</v>
      </c>
      <c r="G662" s="19">
        <f>(L226+L306)-(J226+J306)</f>
        <v>0</v>
      </c>
      <c r="H662" s="19">
        <f>(L244+L325)-(J244+J325)</f>
        <v>0</v>
      </c>
      <c r="I662" s="19">
        <f>SUM(F662:H662)</f>
        <v>281995.88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254598.36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254598.36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7671353.0200000005</v>
      </c>
      <c r="G664" s="19">
        <f>G660-SUM(G661:G663)</f>
        <v>0</v>
      </c>
      <c r="H664" s="19">
        <f>H660-SUM(H661:H663)</f>
        <v>0</v>
      </c>
      <c r="I664" s="19">
        <f>I660-SUM(I661:I663)</f>
        <v>7671353.0200000005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410.35</v>
      </c>
      <c r="G665" s="248"/>
      <c r="H665" s="248"/>
      <c r="I665" s="19">
        <f>SUM(F665:H665)</f>
        <v>410.35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18694.66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18694.66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18694.66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18694.66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Plymouth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2234929.21</v>
      </c>
      <c r="C9" s="229">
        <f>'DOE25'!G197+'DOE25'!G215+'DOE25'!G233+'DOE25'!G276+'DOE25'!G295+'DOE25'!G314</f>
        <v>1071366.67</v>
      </c>
    </row>
    <row r="10" spans="1:3" x14ac:dyDescent="0.2">
      <c r="A10" t="s">
        <v>773</v>
      </c>
      <c r="B10" s="240">
        <v>2181033.31</v>
      </c>
      <c r="C10" s="240">
        <v>1066965.56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53895.9</v>
      </c>
      <c r="C12" s="240">
        <v>4401.1099999999997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2234929.21</v>
      </c>
      <c r="C13" s="231">
        <f>SUM(C10:C12)</f>
        <v>1071366.6700000002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1056073.6299999999</v>
      </c>
      <c r="C18" s="229">
        <f>'DOE25'!G198+'DOE25'!G216+'DOE25'!G234+'DOE25'!G277+'DOE25'!G296+'DOE25'!G315</f>
        <v>493550.69</v>
      </c>
    </row>
    <row r="19" spans="1:3" x14ac:dyDescent="0.2">
      <c r="A19" t="s">
        <v>773</v>
      </c>
      <c r="B19" s="240">
        <v>540948</v>
      </c>
      <c r="C19" s="240">
        <v>247487.04</v>
      </c>
    </row>
    <row r="20" spans="1:3" x14ac:dyDescent="0.2">
      <c r="A20" t="s">
        <v>774</v>
      </c>
      <c r="B20" s="240">
        <v>475666.09</v>
      </c>
      <c r="C20" s="240">
        <v>230442.46</v>
      </c>
    </row>
    <row r="21" spans="1:3" x14ac:dyDescent="0.2">
      <c r="A21" t="s">
        <v>775</v>
      </c>
      <c r="B21" s="240">
        <v>39459.54</v>
      </c>
      <c r="C21" s="240">
        <v>15621.19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1056073.6300000001</v>
      </c>
      <c r="C22" s="231">
        <f>SUM(C19:C21)</f>
        <v>493550.69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153167.22</v>
      </c>
      <c r="C36" s="235">
        <f>'DOE25'!G200+'DOE25'!G218+'DOE25'!G236+'DOE25'!G279+'DOE25'!G298+'DOE25'!G317</f>
        <v>35051.19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153167.22</v>
      </c>
      <c r="C39" s="240">
        <v>35051.19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153167.22</v>
      </c>
      <c r="C40" s="231">
        <f>SUM(C37:C39)</f>
        <v>35051.19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Plymouth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5343747.2700000005</v>
      </c>
      <c r="D5" s="20">
        <f>SUM('DOE25'!L197:L200)+SUM('DOE25'!L215:L218)+SUM('DOE25'!L233:L236)-F5-G5</f>
        <v>5323398.05</v>
      </c>
      <c r="E5" s="243"/>
      <c r="F5" s="255">
        <f>SUM('DOE25'!J197:J200)+SUM('DOE25'!J215:J218)+SUM('DOE25'!J233:J236)</f>
        <v>15872.07</v>
      </c>
      <c r="G5" s="53">
        <f>SUM('DOE25'!K197:K200)+SUM('DOE25'!K215:K218)+SUM('DOE25'!K233:K236)</f>
        <v>4477.1499999999996</v>
      </c>
      <c r="H5" s="259"/>
    </row>
    <row r="6" spans="1:9" x14ac:dyDescent="0.2">
      <c r="A6" s="32">
        <v>2100</v>
      </c>
      <c r="B6" t="s">
        <v>795</v>
      </c>
      <c r="C6" s="245">
        <f t="shared" si="0"/>
        <v>735696.56</v>
      </c>
      <c r="D6" s="20">
        <f>'DOE25'!L202+'DOE25'!L220+'DOE25'!L238-F6-G6</f>
        <v>735696.56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176336.8</v>
      </c>
      <c r="D7" s="20">
        <f>'DOE25'!L203+'DOE25'!L221+'DOE25'!L239-F7-G7</f>
        <v>176336.8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255612.59000000003</v>
      </c>
      <c r="D8" s="243"/>
      <c r="E8" s="20">
        <f>'DOE25'!L204+'DOE25'!L222+'DOE25'!L240-F8-G8-D9-D11</f>
        <v>252149.79000000004</v>
      </c>
      <c r="F8" s="255">
        <f>'DOE25'!J204+'DOE25'!J222+'DOE25'!J240</f>
        <v>0</v>
      </c>
      <c r="G8" s="53">
        <f>'DOE25'!K204+'DOE25'!K222+'DOE25'!K240</f>
        <v>3462.8</v>
      </c>
      <c r="H8" s="259"/>
    </row>
    <row r="9" spans="1:9" x14ac:dyDescent="0.2">
      <c r="A9" s="32">
        <v>2310</v>
      </c>
      <c r="B9" t="s">
        <v>812</v>
      </c>
      <c r="C9" s="245">
        <f t="shared" si="0"/>
        <v>23988.799999999999</v>
      </c>
      <c r="D9" s="244">
        <v>23988.799999999999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7600</v>
      </c>
      <c r="D10" s="243"/>
      <c r="E10" s="244">
        <v>7600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103837.98</v>
      </c>
      <c r="D11" s="244">
        <v>103837.98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406604.54000000004</v>
      </c>
      <c r="D12" s="20">
        <f>'DOE25'!L205+'DOE25'!L223+'DOE25'!L241-F12-G12</f>
        <v>404916.54000000004</v>
      </c>
      <c r="E12" s="243"/>
      <c r="F12" s="255">
        <f>'DOE25'!J205+'DOE25'!J223+'DOE25'!J241</f>
        <v>0</v>
      </c>
      <c r="G12" s="53">
        <f>'DOE25'!K205+'DOE25'!K223+'DOE25'!K241</f>
        <v>1688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541072.04</v>
      </c>
      <c r="D14" s="20">
        <f>'DOE25'!L207+'DOE25'!L225+'DOE25'!L243-F14-G14</f>
        <v>538248.04</v>
      </c>
      <c r="E14" s="243"/>
      <c r="F14" s="255">
        <f>'DOE25'!J207+'DOE25'!J225+'DOE25'!J243</f>
        <v>2824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277474.49</v>
      </c>
      <c r="D15" s="20">
        <f>'DOE25'!L208+'DOE25'!L226+'DOE25'!L244-F15-G15</f>
        <v>277474.49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65513.749999999993</v>
      </c>
      <c r="D19" s="20">
        <f>'DOE25'!L253-F19-G19</f>
        <v>65513.749999999993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40000</v>
      </c>
      <c r="D22" s="243"/>
      <c r="E22" s="243"/>
      <c r="F22" s="255">
        <f>'DOE25'!L255+'DOE25'!L336</f>
        <v>40000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132449</v>
      </c>
      <c r="D29" s="20">
        <f>'DOE25'!L358+'DOE25'!L359+'DOE25'!L360-'DOE25'!I367-F29-G29</f>
        <v>132449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256694.79</v>
      </c>
      <c r="D31" s="20">
        <f>'DOE25'!L290+'DOE25'!L309+'DOE25'!L328+'DOE25'!L333+'DOE25'!L334+'DOE25'!L335-F31-G31</f>
        <v>219502.92</v>
      </c>
      <c r="E31" s="243"/>
      <c r="F31" s="255">
        <f>'DOE25'!J290+'DOE25'!J309+'DOE25'!J328+'DOE25'!J333+'DOE25'!J334+'DOE25'!J335</f>
        <v>28459.74</v>
      </c>
      <c r="G31" s="53">
        <f>'DOE25'!K290+'DOE25'!K309+'DOE25'!K328+'DOE25'!K333+'DOE25'!K334+'DOE25'!K335</f>
        <v>8732.130000000001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8001362.9299999997</v>
      </c>
      <c r="E33" s="246">
        <f>SUM(E5:E31)</f>
        <v>259749.79000000004</v>
      </c>
      <c r="F33" s="246">
        <f>SUM(F5:F31)</f>
        <v>87155.81</v>
      </c>
      <c r="G33" s="246">
        <f>SUM(G5:G31)</f>
        <v>18360.080000000002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259749.79000000004</v>
      </c>
      <c r="E35" s="249"/>
    </row>
    <row r="36" spans="2:8" ht="12" thickTop="1" x14ac:dyDescent="0.2">
      <c r="B36" t="s">
        <v>809</v>
      </c>
      <c r="D36" s="20">
        <f>D33</f>
        <v>8001362.9299999997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Plymouth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131237.18</v>
      </c>
      <c r="D8" s="95">
        <f>'DOE25'!G9</f>
        <v>-33693.94</v>
      </c>
      <c r="E8" s="95">
        <f>'DOE25'!H9</f>
        <v>-23246.22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62060.05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55334.22</v>
      </c>
      <c r="D11" s="95">
        <f>'DOE25'!G12</f>
        <v>7132.63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3296.62</v>
      </c>
      <c r="D12" s="95">
        <f>'DOE25'!G13</f>
        <v>0</v>
      </c>
      <c r="E12" s="95">
        <f>'DOE25'!H13</f>
        <v>23209.97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25951.15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4717.2299999999996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194585.25</v>
      </c>
      <c r="D18" s="41">
        <f>SUM(D8:D17)</f>
        <v>-610.15999999999985</v>
      </c>
      <c r="E18" s="41">
        <f>SUM(E8:E17)</f>
        <v>-36.25</v>
      </c>
      <c r="F18" s="41">
        <f>SUM(F8:F17)</f>
        <v>0</v>
      </c>
      <c r="G18" s="41">
        <f>SUM(G8:G17)</f>
        <v>62060.05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63534.59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4768.99</v>
      </c>
      <c r="D29" s="95">
        <f>'DOE25'!G30</f>
        <v>0</v>
      </c>
      <c r="E29" s="95">
        <f>'DOE25'!H30</f>
        <v>193.35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68303.58</v>
      </c>
      <c r="D31" s="41">
        <f>SUM(D21:D30)</f>
        <v>0</v>
      </c>
      <c r="E31" s="41">
        <f>SUM(E21:E30)</f>
        <v>193.35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-610.16</v>
      </c>
      <c r="E47" s="95">
        <f>'DOE25'!H48</f>
        <v>-229.6</v>
      </c>
      <c r="F47" s="95">
        <f>'DOE25'!I48</f>
        <v>0</v>
      </c>
      <c r="G47" s="95">
        <f>'DOE25'!J48</f>
        <v>62060.05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126281.67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126281.67</v>
      </c>
      <c r="D50" s="41">
        <f>SUM(D34:D49)</f>
        <v>-610.16</v>
      </c>
      <c r="E50" s="41">
        <f>SUM(E34:E49)</f>
        <v>-229.6</v>
      </c>
      <c r="F50" s="41">
        <f>SUM(F34:F49)</f>
        <v>0</v>
      </c>
      <c r="G50" s="41">
        <f>SUM(G34:G49)</f>
        <v>62060.05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194585.25</v>
      </c>
      <c r="D51" s="41">
        <f>D50+D31</f>
        <v>-610.16</v>
      </c>
      <c r="E51" s="41">
        <f>E50+E31</f>
        <v>-36.25</v>
      </c>
      <c r="F51" s="41">
        <f>F50+F31</f>
        <v>0</v>
      </c>
      <c r="G51" s="41">
        <f>G50+G31</f>
        <v>62060.05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4462944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309971.09999999998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0.65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6.76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45567.6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313520.03999999998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623491.79</v>
      </c>
      <c r="D62" s="130">
        <f>SUM(D57:D61)</f>
        <v>45567.6</v>
      </c>
      <c r="E62" s="130">
        <f>SUM(E57:E61)</f>
        <v>0</v>
      </c>
      <c r="F62" s="130">
        <f>SUM(F57:F61)</f>
        <v>0</v>
      </c>
      <c r="G62" s="130">
        <f>SUM(G57:G61)</f>
        <v>6.76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5086435.79</v>
      </c>
      <c r="D63" s="22">
        <f>D56+D62</f>
        <v>45567.6</v>
      </c>
      <c r="E63" s="22">
        <f>E56+E62</f>
        <v>0</v>
      </c>
      <c r="F63" s="22">
        <f>F56+F62</f>
        <v>0</v>
      </c>
      <c r="G63" s="22">
        <f>G56+G62</f>
        <v>6.76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2103498.34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683887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7719.92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2795105.26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13382.1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1906.11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13382.1</v>
      </c>
      <c r="D78" s="130">
        <f>SUM(D72:D77)</f>
        <v>1906.11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2808487.36</v>
      </c>
      <c r="D81" s="130">
        <f>SUM(D79:D80)+D78+D70</f>
        <v>1906.11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128691.96</v>
      </c>
      <c r="D88" s="95">
        <f>SUM('DOE25'!G153:G161)</f>
        <v>84365.13</v>
      </c>
      <c r="E88" s="95">
        <f>SUM('DOE25'!H153:H161)</f>
        <v>256694.78999999998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2293.73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130985.69</v>
      </c>
      <c r="D91" s="131">
        <f>SUM(D85:D90)</f>
        <v>84365.13</v>
      </c>
      <c r="E91" s="131">
        <f>SUM(E85:E90)</f>
        <v>256694.78999999998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8025908.8400000008</v>
      </c>
      <c r="D104" s="86">
        <f>D63+D81+D91+D103</f>
        <v>131838.84</v>
      </c>
      <c r="E104" s="86">
        <f>E63+E81+E91+E103</f>
        <v>256694.78999999998</v>
      </c>
      <c r="F104" s="86">
        <f>F63+F81+F91+F103</f>
        <v>0</v>
      </c>
      <c r="G104" s="86">
        <f>G63+G81+G103</f>
        <v>6.76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3305312.49</v>
      </c>
      <c r="D109" s="24" t="s">
        <v>286</v>
      </c>
      <c r="E109" s="95">
        <f>('DOE25'!L276)+('DOE25'!L295)+('DOE25'!L314)</f>
        <v>149711.70000000001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1865305.5399999998</v>
      </c>
      <c r="D110" s="24" t="s">
        <v>286</v>
      </c>
      <c r="E110" s="95">
        <f>('DOE25'!L277)+('DOE25'!L296)+('DOE25'!L315)</f>
        <v>35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173129.24</v>
      </c>
      <c r="D112" s="24" t="s">
        <v>286</v>
      </c>
      <c r="E112" s="95">
        <f>+('DOE25'!L279)+('DOE25'!L298)+('DOE25'!L317)</f>
        <v>54061.69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65513.749999999993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5409261.0200000005</v>
      </c>
      <c r="D115" s="86">
        <f>SUM(D109:D114)</f>
        <v>0</v>
      </c>
      <c r="E115" s="86">
        <f>SUM(E109:E114)</f>
        <v>203808.39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735696.56</v>
      </c>
      <c r="D118" s="24" t="s">
        <v>286</v>
      </c>
      <c r="E118" s="95">
        <f>+('DOE25'!L281)+('DOE25'!L300)+('DOE25'!L319)</f>
        <v>12830.11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176336.8</v>
      </c>
      <c r="D119" s="24" t="s">
        <v>286</v>
      </c>
      <c r="E119" s="95">
        <f>+('DOE25'!L282)+('DOE25'!L301)+('DOE25'!L320)</f>
        <v>21531.25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383439.37</v>
      </c>
      <c r="D120" s="24" t="s">
        <v>286</v>
      </c>
      <c r="E120" s="95">
        <f>+('DOE25'!L283)+('DOE25'!L302)+('DOE25'!L321)</f>
        <v>8406.52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406604.54000000004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5597.13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541072.04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277474.49</v>
      </c>
      <c r="D124" s="24" t="s">
        <v>286</v>
      </c>
      <c r="E124" s="95">
        <f>+('DOE25'!L287)+('DOE25'!L306)+('DOE25'!L325)</f>
        <v>4521.3900000000003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132449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2520623.7999999998</v>
      </c>
      <c r="D128" s="86">
        <f>SUM(D118:D127)</f>
        <v>132449</v>
      </c>
      <c r="E128" s="86">
        <f>SUM(E118:E127)</f>
        <v>52886.400000000001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40000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6.76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-6.76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7969884.8200000003</v>
      </c>
      <c r="D145" s="86">
        <f>(D115+D128+D144)</f>
        <v>132449</v>
      </c>
      <c r="E145" s="86">
        <f>(E115+E128+E144)</f>
        <v>256694.79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Plymouth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18695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18695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3455024</v>
      </c>
      <c r="D10" s="182">
        <f>ROUND((C10/$C$28)*100,1)</f>
        <v>41.8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1865341</v>
      </c>
      <c r="D11" s="182">
        <f>ROUND((C11/$C$28)*100,1)</f>
        <v>22.5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227191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748527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197868</v>
      </c>
      <c r="D16" s="182">
        <f t="shared" si="0"/>
        <v>2.4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391846</v>
      </c>
      <c r="D17" s="182">
        <f t="shared" si="0"/>
        <v>4.7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406605</v>
      </c>
      <c r="D18" s="182">
        <f t="shared" si="0"/>
        <v>4.9000000000000004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5597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541072</v>
      </c>
      <c r="D20" s="182">
        <f t="shared" si="0"/>
        <v>6.5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281996</v>
      </c>
      <c r="D21" s="182">
        <f t="shared" si="0"/>
        <v>3.4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65514</v>
      </c>
      <c r="D24" s="182">
        <f t="shared" si="0"/>
        <v>0.8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86881.4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8273462.4000000004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40000</v>
      </c>
    </row>
    <row r="30" spans="1:4" x14ac:dyDescent="0.2">
      <c r="B30" s="187" t="s">
        <v>723</v>
      </c>
      <c r="C30" s="180">
        <f>SUM(C28:C29)</f>
        <v>8313462.4000000004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4462944</v>
      </c>
      <c r="D35" s="182">
        <f t="shared" ref="D35:D40" si="1">ROUND((C35/$C$41)*100,1)</f>
        <v>53.3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623498.54999999981</v>
      </c>
      <c r="D36" s="182">
        <f t="shared" si="1"/>
        <v>7.5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2787385</v>
      </c>
      <c r="D37" s="182">
        <f t="shared" si="1"/>
        <v>33.299999999999997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23008</v>
      </c>
      <c r="D38" s="182">
        <f t="shared" si="1"/>
        <v>0.3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472046</v>
      </c>
      <c r="D39" s="182">
        <f t="shared" si="1"/>
        <v>5.6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8368881.5499999998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Plymouth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2018-08-22T18:33:35Z</cp:lastPrinted>
  <dcterms:created xsi:type="dcterms:W3CDTF">1997-12-04T19:04:30Z</dcterms:created>
  <dcterms:modified xsi:type="dcterms:W3CDTF">2018-11-30T15:52:33Z</dcterms:modified>
</cp:coreProperties>
</file>