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237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F17" i="13"/>
  <c r="G17" i="13"/>
  <c r="L251" i="1"/>
  <c r="F18" i="13"/>
  <c r="G18" i="13"/>
  <c r="D18" i="13" s="1"/>
  <c r="C18" i="13" s="1"/>
  <c r="L252" i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E122" i="2" s="1"/>
  <c r="L324" i="1"/>
  <c r="L325" i="1"/>
  <c r="L326" i="1"/>
  <c r="L333" i="1"/>
  <c r="L334" i="1"/>
  <c r="L335" i="1"/>
  <c r="L260" i="1"/>
  <c r="L261" i="1"/>
  <c r="L341" i="1"/>
  <c r="L351" i="1" s="1"/>
  <c r="L342" i="1"/>
  <c r="L255" i="1"/>
  <c r="C29" i="10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9" i="1" s="1"/>
  <c r="F162" i="1"/>
  <c r="G147" i="1"/>
  <c r="D85" i="2" s="1"/>
  <c r="G162" i="1"/>
  <c r="H147" i="1"/>
  <c r="H162" i="1"/>
  <c r="I147" i="1"/>
  <c r="F85" i="2" s="1"/>
  <c r="I162" i="1"/>
  <c r="L250" i="1"/>
  <c r="L332" i="1"/>
  <c r="L254" i="1"/>
  <c r="C25" i="10"/>
  <c r="L268" i="1"/>
  <c r="L269" i="1"/>
  <c r="L349" i="1"/>
  <c r="L350" i="1"/>
  <c r="E143" i="2" s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6" i="2"/>
  <c r="F56" i="2"/>
  <c r="C57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E114" i="2"/>
  <c r="D115" i="2"/>
  <c r="F115" i="2"/>
  <c r="G115" i="2"/>
  <c r="E124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257" i="1" s="1"/>
  <c r="K247" i="1"/>
  <c r="F256" i="1"/>
  <c r="G256" i="1"/>
  <c r="H256" i="1"/>
  <c r="I256" i="1"/>
  <c r="J256" i="1"/>
  <c r="K256" i="1"/>
  <c r="F257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G641" i="1" s="1"/>
  <c r="F452" i="1"/>
  <c r="G452" i="1"/>
  <c r="H452" i="1"/>
  <c r="F460" i="1"/>
  <c r="F461" i="1" s="1"/>
  <c r="H639" i="1" s="1"/>
  <c r="G460" i="1"/>
  <c r="H460" i="1"/>
  <c r="H461" i="1" s="1"/>
  <c r="H641" i="1" s="1"/>
  <c r="G461" i="1"/>
  <c r="F470" i="1"/>
  <c r="F476" i="1" s="1"/>
  <c r="H622" i="1" s="1"/>
  <c r="J622" i="1" s="1"/>
  <c r="G470" i="1"/>
  <c r="H470" i="1"/>
  <c r="H476" i="1" s="1"/>
  <c r="H624" i="1" s="1"/>
  <c r="I470" i="1"/>
  <c r="J470" i="1"/>
  <c r="F474" i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H545" i="1" s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H640" i="1"/>
  <c r="G643" i="1"/>
  <c r="H643" i="1"/>
  <c r="G644" i="1"/>
  <c r="H644" i="1"/>
  <c r="G645" i="1"/>
  <c r="G652" i="1"/>
  <c r="H652" i="1"/>
  <c r="G653" i="1"/>
  <c r="H653" i="1"/>
  <c r="G654" i="1"/>
  <c r="H654" i="1"/>
  <c r="H655" i="1"/>
  <c r="L256" i="1"/>
  <c r="G164" i="2"/>
  <c r="C26" i="10"/>
  <c r="C70" i="2"/>
  <c r="F78" i="2"/>
  <c r="F81" i="2" s="1"/>
  <c r="D50" i="2"/>
  <c r="G157" i="2"/>
  <c r="E31" i="2"/>
  <c r="J617" i="1"/>
  <c r="L427" i="1"/>
  <c r="H112" i="1"/>
  <c r="L419" i="1"/>
  <c r="J643" i="1"/>
  <c r="G22" i="2"/>
  <c r="L401" i="1"/>
  <c r="C139" i="2" s="1"/>
  <c r="H25" i="13"/>
  <c r="C25" i="13" s="1"/>
  <c r="J640" i="1"/>
  <c r="H338" i="1"/>
  <c r="H352" i="1" s="1"/>
  <c r="G192" i="1"/>
  <c r="H192" i="1"/>
  <c r="J645" i="1"/>
  <c r="J636" i="1"/>
  <c r="H33" i="13"/>
  <c r="A13" i="12" l="1"/>
  <c r="G552" i="1"/>
  <c r="J545" i="1"/>
  <c r="L529" i="1"/>
  <c r="K550" i="1"/>
  <c r="I545" i="1"/>
  <c r="G545" i="1"/>
  <c r="K551" i="1"/>
  <c r="G62" i="2"/>
  <c r="J644" i="1"/>
  <c r="J476" i="1"/>
  <c r="H626" i="1" s="1"/>
  <c r="I552" i="1"/>
  <c r="J571" i="1"/>
  <c r="I571" i="1"/>
  <c r="H571" i="1"/>
  <c r="L565" i="1"/>
  <c r="L560" i="1"/>
  <c r="L570" i="1"/>
  <c r="K571" i="1"/>
  <c r="F571" i="1"/>
  <c r="L614" i="1"/>
  <c r="K605" i="1"/>
  <c r="G648" i="1" s="1"/>
  <c r="K598" i="1"/>
  <c r="G647" i="1" s="1"/>
  <c r="C35" i="10"/>
  <c r="E119" i="2"/>
  <c r="L309" i="1"/>
  <c r="H169" i="1"/>
  <c r="G476" i="1"/>
  <c r="H623" i="1" s="1"/>
  <c r="J623" i="1" s="1"/>
  <c r="H662" i="1"/>
  <c r="E123" i="2"/>
  <c r="E121" i="2"/>
  <c r="E109" i="2"/>
  <c r="E120" i="2"/>
  <c r="E118" i="2"/>
  <c r="E112" i="2"/>
  <c r="G338" i="1"/>
  <c r="G352" i="1" s="1"/>
  <c r="F338" i="1"/>
  <c r="F352" i="1" s="1"/>
  <c r="F662" i="1"/>
  <c r="C15" i="10"/>
  <c r="L290" i="1"/>
  <c r="G651" i="1"/>
  <c r="J651" i="1" s="1"/>
  <c r="C19" i="10"/>
  <c r="D7" i="13"/>
  <c r="C7" i="13" s="1"/>
  <c r="C12" i="10"/>
  <c r="G650" i="1"/>
  <c r="J650" i="1" s="1"/>
  <c r="D14" i="13"/>
  <c r="C14" i="13" s="1"/>
  <c r="L229" i="1"/>
  <c r="I257" i="1"/>
  <c r="I271" i="1" s="1"/>
  <c r="H257" i="1"/>
  <c r="H271" i="1" s="1"/>
  <c r="C10" i="10"/>
  <c r="E16" i="13"/>
  <c r="C16" i="13" s="1"/>
  <c r="H647" i="1"/>
  <c r="D12" i="13"/>
  <c r="C12" i="13" s="1"/>
  <c r="E8" i="13"/>
  <c r="C8" i="13" s="1"/>
  <c r="G649" i="1"/>
  <c r="J649" i="1" s="1"/>
  <c r="C109" i="2"/>
  <c r="I662" i="1"/>
  <c r="C120" i="2"/>
  <c r="D5" i="13"/>
  <c r="C5" i="13" s="1"/>
  <c r="I369" i="1"/>
  <c r="H634" i="1" s="1"/>
  <c r="H661" i="1"/>
  <c r="J634" i="1"/>
  <c r="L270" i="1"/>
  <c r="D62" i="2"/>
  <c r="D63" i="2" s="1"/>
  <c r="D81" i="2"/>
  <c r="D91" i="2"/>
  <c r="J641" i="1"/>
  <c r="E62" i="2"/>
  <c r="E63" i="2" s="1"/>
  <c r="J49" i="1"/>
  <c r="G48" i="2" s="1"/>
  <c r="I460" i="1"/>
  <c r="D31" i="2"/>
  <c r="D51" i="2" s="1"/>
  <c r="J22" i="1"/>
  <c r="I452" i="1"/>
  <c r="I461" i="1" s="1"/>
  <c r="H642" i="1" s="1"/>
  <c r="J10" i="1"/>
  <c r="G9" i="2" s="1"/>
  <c r="I446" i="1"/>
  <c r="G642" i="1" s="1"/>
  <c r="J642" i="1" s="1"/>
  <c r="C18" i="2"/>
  <c r="F18" i="2"/>
  <c r="D18" i="2"/>
  <c r="J549" i="1"/>
  <c r="J552" i="1" s="1"/>
  <c r="L544" i="1"/>
  <c r="H549" i="1"/>
  <c r="H552" i="1" s="1"/>
  <c r="L534" i="1"/>
  <c r="F549" i="1"/>
  <c r="L524" i="1"/>
  <c r="C58" i="2"/>
  <c r="C62" i="2" s="1"/>
  <c r="C63" i="2" s="1"/>
  <c r="F112" i="1"/>
  <c r="C36" i="10" s="1"/>
  <c r="A31" i="12"/>
  <c r="A40" i="12"/>
  <c r="L328" i="1"/>
  <c r="G661" i="1"/>
  <c r="D127" i="2"/>
  <c r="D128" i="2" s="1"/>
  <c r="D145" i="2" s="1"/>
  <c r="C114" i="2"/>
  <c r="C124" i="2"/>
  <c r="D15" i="13"/>
  <c r="C15" i="13" s="1"/>
  <c r="C20" i="10"/>
  <c r="C123" i="2"/>
  <c r="C18" i="10"/>
  <c r="C121" i="2"/>
  <c r="C16" i="10"/>
  <c r="C119" i="2"/>
  <c r="C118" i="2"/>
  <c r="D6" i="13"/>
  <c r="C6" i="13" s="1"/>
  <c r="L247" i="1"/>
  <c r="C13" i="10"/>
  <c r="C112" i="2"/>
  <c r="C11" i="10"/>
  <c r="L211" i="1"/>
  <c r="L257" i="1" s="1"/>
  <c r="L271" i="1" s="1"/>
  <c r="G632" i="1" s="1"/>
  <c r="J632" i="1" s="1"/>
  <c r="C110" i="2"/>
  <c r="C125" i="2"/>
  <c r="C122" i="2"/>
  <c r="E13" i="13"/>
  <c r="C13" i="13" s="1"/>
  <c r="F22" i="13"/>
  <c r="C22" i="13" s="1"/>
  <c r="I169" i="1"/>
  <c r="D29" i="13"/>
  <c r="C29" i="13" s="1"/>
  <c r="D17" i="13"/>
  <c r="C17" i="13" s="1"/>
  <c r="L539" i="1"/>
  <c r="K545" i="1"/>
  <c r="K338" i="1"/>
  <c r="K352" i="1" s="1"/>
  <c r="K257" i="1"/>
  <c r="K271" i="1" s="1"/>
  <c r="G257" i="1"/>
  <c r="G271" i="1" s="1"/>
  <c r="F192" i="1"/>
  <c r="H52" i="1"/>
  <c r="H619" i="1" s="1"/>
  <c r="G624" i="1"/>
  <c r="B161" i="2"/>
  <c r="G161" i="2" s="1"/>
  <c r="K500" i="1"/>
  <c r="G156" i="2"/>
  <c r="C85" i="2"/>
  <c r="C91" i="2" s="1"/>
  <c r="E78" i="2"/>
  <c r="E81" i="2" s="1"/>
  <c r="F661" i="1"/>
  <c r="C21" i="10"/>
  <c r="C17" i="10"/>
  <c r="J624" i="1"/>
  <c r="J639" i="1"/>
  <c r="L433" i="1"/>
  <c r="L434" i="1" s="1"/>
  <c r="G638" i="1" s="1"/>
  <c r="J638" i="1" s="1"/>
  <c r="J271" i="1"/>
  <c r="J338" i="1"/>
  <c r="J352" i="1" s="1"/>
  <c r="F271" i="1"/>
  <c r="C78" i="2"/>
  <c r="C81" i="2" s="1"/>
  <c r="L362" i="1"/>
  <c r="C27" i="10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L407" i="1"/>
  <c r="C140" i="2" s="1"/>
  <c r="C141" i="2" s="1"/>
  <c r="C144" i="2" s="1"/>
  <c r="I192" i="1"/>
  <c r="E9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G140" i="1"/>
  <c r="F140" i="1"/>
  <c r="F193" i="1" s="1"/>
  <c r="G627" i="1" s="1"/>
  <c r="J627" i="1" s="1"/>
  <c r="G63" i="2"/>
  <c r="G104" i="2" s="1"/>
  <c r="J618" i="1"/>
  <c r="G42" i="2"/>
  <c r="G50" i="2" s="1"/>
  <c r="G51" i="2" s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J652" i="1"/>
  <c r="G571" i="1"/>
  <c r="I434" i="1"/>
  <c r="G434" i="1"/>
  <c r="I663" i="1"/>
  <c r="G635" i="1"/>
  <c r="J635" i="1" s="1"/>
  <c r="L408" i="1" l="1"/>
  <c r="L571" i="1"/>
  <c r="J647" i="1"/>
  <c r="C39" i="10"/>
  <c r="E104" i="2"/>
  <c r="C104" i="2"/>
  <c r="E115" i="2"/>
  <c r="E128" i="2"/>
  <c r="H648" i="1"/>
  <c r="J648" i="1" s="1"/>
  <c r="C28" i="10"/>
  <c r="D23" i="10" s="1"/>
  <c r="G664" i="1"/>
  <c r="G667" i="1" s="1"/>
  <c r="I661" i="1"/>
  <c r="C128" i="2"/>
  <c r="H660" i="1"/>
  <c r="H664" i="1" s="1"/>
  <c r="K549" i="1"/>
  <c r="K552" i="1" s="1"/>
  <c r="F552" i="1"/>
  <c r="D104" i="2"/>
  <c r="D31" i="13"/>
  <c r="C31" i="13" s="1"/>
  <c r="J51" i="1"/>
  <c r="G626" i="1" s="1"/>
  <c r="J626" i="1" s="1"/>
  <c r="L338" i="1"/>
  <c r="L352" i="1" s="1"/>
  <c r="G633" i="1" s="1"/>
  <c r="J633" i="1" s="1"/>
  <c r="F660" i="1"/>
  <c r="E33" i="13"/>
  <c r="D35" i="13" s="1"/>
  <c r="C115" i="2"/>
  <c r="L545" i="1"/>
  <c r="C51" i="2"/>
  <c r="G631" i="1"/>
  <c r="J631" i="1" s="1"/>
  <c r="G193" i="1"/>
  <c r="G628" i="1" s="1"/>
  <c r="J628" i="1" s="1"/>
  <c r="J52" i="1"/>
  <c r="H621" i="1" s="1"/>
  <c r="J621" i="1" s="1"/>
  <c r="C38" i="10"/>
  <c r="G637" i="1" l="1"/>
  <c r="J637" i="1" s="1"/>
  <c r="H646" i="1"/>
  <c r="J646" i="1" s="1"/>
  <c r="E145" i="2"/>
  <c r="D33" i="13"/>
  <c r="D36" i="13" s="1"/>
  <c r="G672" i="1"/>
  <c r="C5" i="10" s="1"/>
  <c r="C145" i="2"/>
  <c r="D20" i="10"/>
  <c r="D25" i="10"/>
  <c r="D15" i="10"/>
  <c r="D19" i="10"/>
  <c r="D27" i="10"/>
  <c r="D18" i="10"/>
  <c r="D17" i="10"/>
  <c r="D12" i="10"/>
  <c r="D24" i="10"/>
  <c r="D10" i="10"/>
  <c r="D13" i="10"/>
  <c r="D26" i="10"/>
  <c r="D11" i="10"/>
  <c r="C30" i="10"/>
  <c r="D21" i="10"/>
  <c r="D16" i="10"/>
  <c r="D22" i="10"/>
  <c r="F664" i="1"/>
  <c r="I660" i="1"/>
  <c r="I664" i="1" s="1"/>
  <c r="I672" i="1" s="1"/>
  <c r="C7" i="10" s="1"/>
  <c r="H667" i="1"/>
  <c r="H672" i="1"/>
  <c r="C6" i="10" s="1"/>
  <c r="C41" i="10"/>
  <c r="D38" i="10" s="1"/>
  <c r="H656" i="1" l="1"/>
  <c r="D28" i="10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<sst xmlns="http://schemas.openxmlformats.org/spreadsheetml/2006/main" count="3959" uniqueCount="914">
  <si>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</si>
  <si>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</si>
  <si>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</si>
  <si>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</si>
  <si>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</si>
  <si>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</si>
  <si>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</si>
  <si>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</si>
  <si>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</si>
  <si>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</si>
  <si>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</si>
  <si>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</si>
  <si>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</si>
  <si>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</si>
  <si>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</si>
  <si>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</si>
  <si>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</si>
  <si>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</si>
  <si>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</si>
  <si>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</si>
  <si>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</si>
  <si>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</si>
  <si>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</si>
  <si>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</si>
  <si>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</si>
  <si>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</si>
  <si>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</si>
  <si>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</si>
  <si>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</si>
  <si>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</si>
  <si>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</si>
  <si>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</si>
  <si>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</si>
  <si>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</si>
  <si>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</si>
  <si>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</si>
  <si>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</si>
  <si>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</si>
  <si>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</si>
  <si>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</si>
  <si>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</si>
  <si>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</si>
  <si>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</si>
  <si>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</si>
  <si>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</si>
  <si>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</si>
  <si>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</si>
  <si>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</si>
  <si>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</si>
  <si>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</si>
  <si>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</si>
  <si>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</si>
  <si>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</si>
  <si>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</si>
  <si>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</si>
  <si>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</si>
  <si>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</si>
  <si>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</si>
  <si>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</si>
  <si>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</si>
  <si>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</si>
  <si>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</si>
  <si>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</si>
  <si>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</si>
  <si>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</si>
  <si>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</si>
  <si>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</si>
  <si>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</si>
  <si>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</si>
  <si>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</si>
  <si>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</si>
  <si>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</si>
  <si>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</si>
  <si>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</si>
  <si>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</si>
  <si>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</si>
  <si>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</si>
  <si>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</si>
  <si>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</si>
  <si>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</si>
  <si>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</si>
  <si>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</si>
  <si>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</si>
  <si>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</si>
  <si>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</si>
  <si>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</si>
  <si>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</si>
  <si>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</si>
  <si>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</si>
  <si>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</si>
  <si>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</si>
  <si>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</si>
  <si>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</si>
  <si>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</si>
  <si>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</si>
  <si>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</si>
  <si>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</si>
  <si>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</si>
  <si>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</si>
  <si>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</si>
  <si>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</si>
  <si>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</si>
  <si>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</si>
  <si>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</si>
  <si>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</si>
  <si>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</si>
  <si>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</si>
  <si>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</si>
  <si>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</si>
  <si>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</si>
  <si>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</si>
  <si>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</si>
  <si>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</si>
  <si>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</si>
  <si>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</si>
  <si>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</si>
  <si>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</si>
  <si>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</si>
  <si>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</si>
  <si>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</si>
  <si>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</si>
  <si>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</si>
  <si>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</si>
  <si>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</si>
  <si>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</si>
  <si>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</si>
  <si>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</si>
  <si>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</si>
  <si>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</si>
  <si>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</si>
  <si>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</si>
  <si>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</si>
  <si>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</si>
  <si>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</si>
  <si>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</si>
  <si>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</si>
  <si>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</si>
  <si>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</si>
  <si>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</si>
  <si>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</si>
  <si>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</si>
  <si>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</si>
  <si>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</si>
  <si>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</si>
  <si>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</si>
  <si>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</si>
  <si>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</si>
  <si>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</si>
  <si>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</si>
  <si>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</si>
  <si>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</si>
  <si>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</si>
  <si>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</si>
  <si>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</si>
  <si>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</si>
  <si>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</si>
  <si>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</si>
  <si>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</si>
  <si>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</si>
  <si>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</si>
  <si>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</si>
  <si>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</si>
  <si>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</si>
  <si>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</si>
  <si>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</si>
  <si>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</si>
  <si>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</si>
  <si>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</si>
  <si>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</si>
  <si>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</si>
  <si>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</si>
  <si>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</si>
  <si>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</si>
  <si>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</si>
  <si>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</si>
  <si>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</si>
  <si>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</si>
  <si>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</si>
  <si>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</si>
  <si>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</si>
  <si>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</si>
  <si>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</si>
  <si>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</si>
  <si>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</si>
  <si>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</si>
  <si>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</si>
  <si>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</si>
  <si>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</si>
  <si>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</si>
  <si>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</si>
  <si>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</si>
  <si>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</si>
  <si>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</si>
  <si>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</si>
  <si>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</si>
  <si>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</si>
  <si>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</si>
  <si>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</si>
  <si>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</si>
  <si>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</si>
  <si>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</si>
  <si>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</si>
  <si>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</si>
  <si>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</si>
  <si>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</si>
  <si>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</si>
  <si>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</si>
  <si>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</si>
  <si>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</si>
  <si>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</si>
  <si>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</si>
  <si>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</si>
  <si>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</si>
  <si>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</si>
  <si>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</si>
  <si>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</si>
  <si>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</si>
  <si>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</si>
  <si>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</si>
  <si>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</si>
  <si>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</si>
  <si>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</si>
  <si>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</si>
  <si>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</si>
  <si>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</si>
  <si>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</si>
  <si>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</si>
  <si>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</si>
  <si>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</si>
  <si>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</si>
  <si>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</si>
  <si>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</si>
  <si>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</si>
  <si>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</si>
  <si>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</si>
  <si>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</si>
  <si>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</si>
  <si>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</si>
  <si>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</si>
  <si>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</si>
  <si>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</si>
  <si>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</si>
  <si>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</si>
  <si>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</si>
  <si>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</si>
  <si>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</si>
  <si>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</si>
  <si>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</si>
  <si>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</si>
  <si>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</si>
  <si>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</si>
  <si>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</si>
  <si>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</si>
  <si>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</si>
  <si>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</si>
  <si>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</si>
  <si>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</si>
  <si>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</si>
  <si>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</si>
  <si>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</si>
  <si>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</si>
  <si>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</si>
  <si>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</si>
  <si>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</si>
  <si>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</si>
  <si>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</si>
  <si>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</si>
  <si>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</si>
  <si>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</si>
  <si>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</si>
  <si>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</si>
  <si>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</si>
  <si>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</si>
  <si>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</si>
  <si>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</si>
  <si>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</si>
  <si>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</si>
  <si>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</si>
  <si>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</si>
  <si>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</si>
  <si>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</si>
  <si>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</si>
  <si>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</si>
  <si>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</si>
  <si>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</si>
  <si>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</si>
  <si>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</si>
  <si>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</si>
  <si>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</si>
  <si>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</si>
  <si>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</si>
  <si>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</si>
  <si>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</si>
  <si>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</si>
  <si>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</si>
  <si>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</si>
  <si>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</si>
  <si>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</si>
  <si>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</si>
  <si>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</si>
  <si>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</si>
  <si>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</si>
  <si>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</si>
  <si>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</si>
  <si>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</si>
  <si>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</si>
  <si>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</si>
  <si>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</si>
  <si>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</si>
  <si>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</si>
  <si>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</si>
  <si>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</si>
  <si>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</si>
  <si>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</si>
  <si>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</si>
  <si>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</si>
  <si>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</si>
  <si>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</si>
  <si>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</si>
  <si>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</si>
  <si>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</si>
  <si>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</si>
  <si>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</si>
  <si>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</si>
  <si>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</si>
  <si>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</si>
  <si>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</si>
  <si>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</si>
  <si>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</si>
  <si>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</si>
  <si>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</si>
  <si>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</si>
  <si>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</si>
  <si>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</si>
  <si>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</si>
  <si>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</si>
  <si>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</si>
  <si>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</si>
  <si>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</si>
  <si>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</si>
  <si>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</si>
  <si>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</si>
  <si>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</si>
  <si>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</si>
  <si>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</si>
  <si>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</si>
  <si>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</si>
  <si>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</si>
  <si>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</si>
  <si>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</si>
  <si>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</si>
  <si>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</si>
  <si>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</si>
  <si>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</si>
  <si>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</si>
  <si>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</si>
  <si>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</si>
  <si>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</si>
  <si>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</si>
  <si>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</si>
  <si>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</si>
  <si>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</si>
  <si>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</si>
  <si>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</si>
  <si>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</si>
  <si>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</si>
  <si>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</si>
  <si>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</si>
  <si>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</si>
  <si>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</si>
  <si>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</si>
  <si>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</si>
  <si>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</si>
  <si>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</si>
  <si>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</si>
  <si>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</si>
  <si>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</si>
  <si>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</si>
  <si>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</si>
  <si>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</si>
  <si>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</si>
  <si>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</si>
  <si>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</si>
  <si>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</si>
  <si>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</si>
  <si>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</si>
  <si>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</si>
  <si>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</si>
  <si>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</si>
  <si>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</si>
  <si>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</si>
  <si>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</si>
  <si>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</si>
  <si>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</si>
  <si>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</si>
  <si>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</si>
  <si>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</si>
  <si>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</si>
  <si>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</si>
  <si>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</si>
  <si>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</si>
  <si>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</si>
  <si>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</si>
  <si>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</si>
  <si>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</si>
  <si>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</si>
  <si>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</si>
  <si>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</si>
  <si>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</si>
  <si>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</si>
  <si>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</si>
  <si>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</si>
  <si>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</si>
  <si>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</si>
  <si>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</si>
  <si>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</si>
  <si>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</si>
  <si>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</si>
  <si>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</si>
  <si>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</si>
  <si>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</si>
  <si>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</si>
  <si>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</si>
  <si>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</si>
  <si>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</si>
  <si>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</si>
  <si>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</si>
  <si>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</si>
  <si>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</si>
  <si>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</si>
  <si>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</si>
  <si>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</si>
  <si>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</si>
  <si>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</si>
  <si>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</si>
  <si>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</si>
  <si>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</si>
  <si>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</si>
  <si>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</si>
  <si>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</si>
  <si>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</si>
  <si>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</si>
  <si>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</si>
  <si>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</si>
  <si>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</si>
  <si>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</si>
  <si>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</si>
  <si>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</si>
  <si>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</si>
  <si>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</si>
  <si>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</si>
  <si>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</si>
  <si>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</si>
  <si>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</si>
  <si>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</si>
  <si>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</si>
  <si>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</si>
  <si>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</si>
  <si>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</si>
  <si>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</si>
  <si>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</si>
  <si>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</si>
  <si>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</si>
  <si>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</si>
  <si>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</si>
  <si>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</si>
  <si>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</si>
  <si>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</si>
  <si>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</si>
  <si>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</si>
  <si>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</si>
  <si>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</si>
  <si>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</si>
  <si>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</si>
  <si>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</si>
  <si>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</si>
  <si>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</si>
  <si>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</si>
  <si>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</si>
  <si>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</si>
  <si>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</si>
  <si>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</si>
  <si>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</si>
  <si>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</si>
  <si>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</si>
  <si>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</si>
  <si>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</si>
  <si>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</si>
  <si>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</si>
  <si>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</si>
  <si>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</si>
  <si>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</si>
  <si>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</si>
  <si>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</si>
  <si>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</si>
  <si>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</si>
  <si>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</si>
  <si>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</si>
  <si>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</si>
  <si>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</si>
  <si>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</si>
  <si>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</si>
  <si>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</si>
  <si>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</si>
  <si>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</si>
  <si>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</si>
  <si>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</si>
  <si>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</si>
  <si>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</si>
  <si>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</si>
  <si>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</si>
  <si>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</si>
  <si>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</si>
  <si>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</si>
  <si>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</si>
  <si>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</si>
  <si>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</si>
  <si>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</si>
  <si>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</si>
  <si>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</si>
  <si>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</si>
  <si>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</si>
  <si>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</si>
  <si>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</si>
  <si>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</si>
  <si>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</si>
  <si>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</si>
  <si>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</si>
  <si>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</si>
  <si>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</si>
  <si>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</si>
  <si>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</si>
  <si>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</si>
  <si>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</si>
  <si>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</si>
  <si>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</si>
  <si>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</si>
  <si>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</si>
  <si>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</si>
  <si>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</si>
  <si>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</si>
  <si>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</si>
  <si>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</si>
  <si>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</si>
  <si>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</si>
  <si>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</si>
  <si>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</si>
  <si>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</si>
  <si>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</si>
  <si>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</si>
  <si>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</si>
  <si>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</si>
  <si>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</si>
  <si>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</si>
  <si>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</si>
  <si>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</si>
  <si>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</si>
  <si>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</si>
  <si>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</si>
  <si>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</si>
  <si>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</si>
  <si>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</si>
  <si>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</si>
  <si>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</si>
  <si>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</si>
  <si>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</si>
  <si>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</si>
  <si>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</si>
  <si>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</si>
  <si>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</si>
  <si>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</si>
  <si>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</si>
  <si>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</si>
  <si>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</si>
  <si>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</si>
  <si>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</si>
  <si>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</si>
  <si>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</si>
  <si>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</si>
  <si>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</si>
  <si>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</si>
  <si>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</si>
  <si>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</si>
  <si>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</si>
  <si>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</si>
  <si>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</si>
  <si>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</si>
  <si>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</si>
  <si>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</si>
  <si>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</si>
  <si>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</si>
  <si>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</si>
  <si>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</si>
  <si>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</si>
  <si>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</si>
  <si>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</si>
  <si>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</si>
  <si>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</si>
  <si>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</si>
  <si>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</si>
  <si>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</si>
  <si>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</si>
  <si>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</si>
  <si>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</si>
  <si>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</si>
  <si>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</si>
  <si>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</si>
  <si>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</si>
  <si>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</si>
  <si>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</si>
  <si>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</si>
  <si>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</si>
  <si>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</si>
  <si>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</si>
  <si>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</si>
  <si>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</si>
  <si>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</si>
  <si>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</si>
  <si>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</si>
  <si>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</si>
  <si>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</si>
  <si>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</si>
  <si>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</si>
  <si>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</si>
  <si>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</si>
  <si>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</si>
  <si>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</si>
  <si>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</si>
  <si>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</si>
  <si>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</si>
  <si>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</si>
  <si>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</si>
  <si>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</si>
  <si>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</si>
  <si>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</si>
  <si>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</si>
  <si>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</si>
  <si>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</si>
  <si>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</si>
  <si>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</si>
  <si>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</si>
  <si>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</si>
  <si>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</si>
  <si>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</si>
  <si>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</si>
  <si>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</si>
  <si>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</si>
  <si>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</si>
  <si>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</si>
  <si>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</si>
  <si>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</si>
  <si>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</si>
  <si>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</si>
  <si>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</si>
  <si>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</si>
  <si>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</si>
  <si>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</si>
  <si>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</si>
  <si>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</si>
  <si>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</si>
  <si>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</si>
  <si>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</si>
  <si>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</si>
  <si>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</si>
  <si>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</si>
  <si>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</si>
  <si>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</si>
  <si>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</si>
  <si>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</si>
  <si>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</si>
  <si>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</si>
  <si>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</si>
  <si>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</si>
  <si>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</si>
  <si>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</si>
  <si>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</si>
  <si>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</si>
  <si>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</si>
  <si>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</si>
  <si>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</si>
  <si>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</si>
  <si>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</si>
  <si>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</si>
  <si>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</si>
  <si>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</si>
  <si>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</si>
  <si>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</si>
  <si>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</si>
  <si>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</si>
  <si>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</si>
  <si>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</si>
  <si>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</si>
  <si>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</si>
  <si>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</si>
  <si>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</si>
  <si>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</si>
  <si>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</si>
  <si>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</si>
  <si>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</si>
  <si>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</si>
  <si>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</si>
  <si>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</si>
  <si>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</si>
  <si>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</si>
  <si>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</si>
  <si>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</si>
  <si>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</si>
  <si>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</si>
  <si>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</si>
  <si>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</si>
  <si>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</si>
  <si>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</si>
  <si>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</si>
  <si>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</si>
  <si>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</si>
  <si>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</si>
  <si>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</si>
  <si>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</si>
  <si>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</si>
  <si>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</si>
  <si>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</si>
  <si>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</si>
  <si>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</si>
  <si>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</si>
  <si>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</si>
  <si>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</si>
  <si>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</si>
  <si>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</si>
  <si>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</si>
  <si>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</si>
  <si>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</si>
  <si>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</si>
  <si>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</si>
  <si>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</si>
  <si>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</si>
  <si>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</si>
  <si>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</si>
  <si>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</si>
  <si>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</si>
  <si>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</si>
  <si>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</si>
  <si>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</si>
  <si>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</si>
  <si>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</si>
  <si>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</si>
  <si>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</si>
  <si>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</si>
  <si>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</si>
  <si>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</si>
  <si>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</si>
  <si>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</si>
  <si>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</si>
  <si>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</si>
  <si>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</si>
  <si>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</si>
  <si>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</si>
  <si>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</si>
  <si>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</si>
  <si>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</si>
  <si>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</si>
  <si>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</si>
  <si>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</si>
  <si>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</si>
  <si>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</si>
  <si>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</si>
  <si>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</si>
  <si>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</si>
  <si>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</si>
  <si>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</si>
  <si>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</si>
  <si>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</si>
  <si>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</si>
  <si>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</si>
  <si>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</si>
  <si>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</si>
  <si>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</si>
  <si>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</si>
  <si>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</si>
  <si>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</si>
  <si>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</si>
  <si>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</si>
  <si>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</si>
  <si>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</si>
  <si>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</si>
  <si>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</si>
  <si>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</si>
  <si>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</si>
  <si>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</si>
  <si>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</si>
  <si>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</si>
  <si>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</si>
  <si>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</si>
  <si>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</si>
  <si>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</si>
  <si>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</si>
  <si>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</si>
  <si>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</si>
  <si>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</si>
  <si>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</si>
  <si>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</si>
  <si>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</si>
  <si>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</si>
  <si>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</si>
  <si>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</si>
  <si>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</si>
  <si>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</si>
  <si>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</si>
  <si>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</si>
  <si>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</si>
  <si>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</si>
  <si>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</si>
  <si>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</si>
  <si>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</si>
  <si>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</si>
  <si>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</si>
  <si>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</si>
  <si>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</si>
  <si>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</si>
  <si>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</si>
  <si>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</si>
  <si>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</si>
  <si>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</si>
  <si>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</si>
  <si>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</si>
  <si>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</si>
  <si>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</si>
  <si>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</si>
  <si>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</si>
  <si>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</si>
  <si>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</si>
  <si>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</si>
  <si>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</si>
  <si>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</si>
  <si>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</si>
  <si>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</si>
  <si>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</si>
  <si>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</si>
  <si>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</si>
  <si>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</si>
  <si>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</si>
  <si>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</si>
  <si>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</si>
  <si>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</si>
  <si>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</si>
  <si>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</si>
  <si>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</si>
  <si>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</si>
  <si>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</si>
  <si>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</si>
  <si>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</si>
  <si>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</si>
  <si>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</si>
  <si>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</si>
  <si>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</si>
  <si>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</si>
  <si>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</si>
  <si>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</si>
  <si>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</si>
  <si>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</si>
  <si>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</si>
  <si>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</si>
  <si>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</si>
  <si>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</si>
  <si>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</si>
  <si>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</si>
  <si>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</si>
  <si>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</si>
  <si>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</si>
  <si>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</si>
  <si>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</si>
  <si>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</si>
  <si>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</si>
  <si>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</si>
  <si>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</si>
  <si>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</si>
  <si>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</si>
  <si>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</si>
  <si>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</si>
  <si>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</si>
  <si>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</si>
  <si>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</si>
  <si>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</si>
  <si>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</si>
  <si>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</si>
  <si>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</si>
  <si>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</si>
  <si>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</si>
  <si>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</si>
  <si>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</si>
  <si>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</si>
  <si>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</si>
  <si>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</si>
  <si>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</si>
  <si>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</si>
  <si>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</si>
  <si>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</si>
  <si>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</si>
  <si>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</si>
  <si>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</si>
  <si>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</si>
  <si>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</si>
  <si>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</si>
  <si>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</si>
  <si>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</si>
  <si>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</si>
  <si>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</si>
  <si>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</si>
  <si>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</si>
  <si>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</si>
  <si>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</si>
  <si>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</si>
  <si>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</si>
  <si>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Scholarship Funds</t>
  </si>
  <si>
    <t>Portsmouth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</si>
</sst>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913</v>
      </c>
      <c r="B2" s="21">
        <v>449</v>
      </c>
      <c r="C2" s="21">
        <v>449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/>
      <c r="G9" s="18">
        <v>21594.67</v>
      </c>
      <c r="H9" s="18"/>
      <c r="I9" s="18"/>
      <c r="J9" s="67">
        <f>SUM(I439)</f>
        <v>-42725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>
        <v>60000</v>
      </c>
      <c r="H12" s="18">
        <v>648668.69999999995</v>
      </c>
      <c r="I12" s="18"/>
      <c r="J12" s="67">
        <f>SUM(I441)</f>
        <v>7041386.54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v>26494.959999999999</v>
      </c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45157.2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0</v>
      </c>
      <c r="G19" s="41">
        <f>SUM(G9:G18)</f>
        <v>153246.83000000002</v>
      </c>
      <c r="H19" s="41">
        <f>SUM(H9:H18)</f>
        <v>648668.69999999995</v>
      </c>
      <c r="I19" s="41">
        <f>SUM(I9:I18)</f>
        <v>0</v>
      </c>
      <c r="J19" s="41">
        <f>SUM(J9:J18)</f>
        <v>6998661.54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89467.51</v>
      </c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>
        <v>306.89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36175.129999999997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>
        <v>23860.98</v>
      </c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0</v>
      </c>
      <c r="G32" s="41">
        <f>SUM(G22:G31)</f>
        <v>149810.51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6858571.1500000004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140090.39000000001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3436.32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648668.69999999995</v>
      </c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/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0</v>
      </c>
      <c r="G51" s="41">
        <f>SUM(G35:G50)</f>
        <v>3436.32</v>
      </c>
      <c r="H51" s="41">
        <f>SUM(H35:H50)</f>
        <v>648668.69999999995</v>
      </c>
      <c r="I51" s="41">
        <f>SUM(I35:I50)</f>
        <v>0</v>
      </c>
      <c r="J51" s="41">
        <f>SUM(J35:J50)</f>
        <v>6998661.54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0</v>
      </c>
      <c r="G52" s="41">
        <f>G51+G32</f>
        <v>153246.83000000002</v>
      </c>
      <c r="H52" s="41">
        <f>H51+H32</f>
        <v>648668.69999999995</v>
      </c>
      <c r="I52" s="41">
        <f>I51+I32</f>
        <v>0</v>
      </c>
      <c r="J52" s="41">
        <f>J51+J32</f>
        <v>6998661.54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26637318.129999999</v>
      </c>
      <c r="G57" s="18"/>
      <c r="H57" s="18">
        <v>232948.72</v>
      </c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26637318.129999999</v>
      </c>
      <c r="G60" s="41">
        <f>SUM(G57:G59)</f>
        <v>0</v>
      </c>
      <c r="H60" s="41">
        <f>SUM(H57:H59)</f>
        <v>232948.72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28022.16</v>
      </c>
      <c r="G63" s="24" t="s">
        <v>286</v>
      </c>
      <c r="H63" s="18">
        <v>48658.57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>
        <v>1437.39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6621599.3499999996</v>
      </c>
      <c r="G68" s="24" t="s">
        <v>286</v>
      </c>
      <c r="H68" s="18">
        <v>150733.51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>
        <v>555632.79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>
        <v>66321.75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6649621.5099999998</v>
      </c>
      <c r="G79" s="45" t="s">
        <v>286</v>
      </c>
      <c r="H79" s="41">
        <f>SUM(H63:H78)</f>
        <v>822784.01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>
        <v>1218327.08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574317.12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>
        <v>14571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11778.75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173258.51</v>
      </c>
      <c r="I102" s="18"/>
      <c r="J102" s="18">
        <v>11855.76</v>
      </c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>
        <v>133570.44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11778.75</v>
      </c>
      <c r="G111" s="41">
        <f>SUM(G96:G110)</f>
        <v>574317.12</v>
      </c>
      <c r="H111" s="41">
        <f>SUM(H96:H110)</f>
        <v>321399.95</v>
      </c>
      <c r="I111" s="41">
        <f>SUM(I96:I110)</f>
        <v>0</v>
      </c>
      <c r="J111" s="41">
        <f>SUM(J96:J110)</f>
        <v>1230182.8400000001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33298718.390000001</v>
      </c>
      <c r="G112" s="41">
        <f>G60+G111</f>
        <v>574317.12</v>
      </c>
      <c r="H112" s="41">
        <f>H60+H79+H94+H111</f>
        <v>1377132.68</v>
      </c>
      <c r="I112" s="41">
        <f>I60+I111</f>
        <v>0</v>
      </c>
      <c r="J112" s="41">
        <f>J60+J111</f>
        <v>1230182.8400000001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11178117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11178117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1863246.73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232948.72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8616.4599999999991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2096195.45</v>
      </c>
      <c r="G136" s="41">
        <f>SUM(G123:G135)</f>
        <v>8616.4599999999991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13274312.449999999</v>
      </c>
      <c r="G140" s="41">
        <f>G121+SUM(G136:G137)</f>
        <v>8616.4599999999991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345636.5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268714.82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53139.01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306198.82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569957.16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>
        <v>597763.76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27446.39</v>
      </c>
      <c r="H161" s="18">
        <v>74998.36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333645.21000000002</v>
      </c>
      <c r="H162" s="41">
        <f>SUM(H150:H161)</f>
        <v>1910209.6100000003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0</v>
      </c>
      <c r="G169" s="41">
        <f>G147+G162+SUM(G163:G168)</f>
        <v>333645.21000000002</v>
      </c>
      <c r="H169" s="41">
        <f>H147+H162+SUM(H163:H168)</f>
        <v>1910209.6100000003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65241.97</v>
      </c>
      <c r="H179" s="18">
        <v>1007791</v>
      </c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65241.97</v>
      </c>
      <c r="H183" s="41">
        <f>SUM(H179:H182)</f>
        <v>1007791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65241.97</v>
      </c>
      <c r="H192" s="41">
        <f>+H183+SUM(H188:H191)</f>
        <v>1007791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46573030.840000004</v>
      </c>
      <c r="G193" s="47">
        <f>G112+G140+G169+G192</f>
        <v>981820.76</v>
      </c>
      <c r="H193" s="47">
        <f>H112+H140+H169+H192</f>
        <v>4295133.29</v>
      </c>
      <c r="I193" s="47">
        <f>I112+I140+I169+I192</f>
        <v>0</v>
      </c>
      <c r="J193" s="47">
        <f>J112+J140+J192</f>
        <v>1230182.8400000001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4948601.83</v>
      </c>
      <c r="G197" s="18">
        <v>2509034.64</v>
      </c>
      <c r="H197" s="18">
        <v>45023.57</v>
      </c>
      <c r="I197" s="18">
        <v>158234.88</v>
      </c>
      <c r="J197" s="18">
        <v>14562.45</v>
      </c>
      <c r="K197" s="18">
        <v>0</v>
      </c>
      <c r="L197" s="19">
        <f>SUM(F197:K197)</f>
        <v>7675457.370000001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1782679.4</v>
      </c>
      <c r="G198" s="18">
        <v>1316858.1299999999</v>
      </c>
      <c r="H198" s="18">
        <v>322725.40999999997</v>
      </c>
      <c r="I198" s="18">
        <v>3717.66</v>
      </c>
      <c r="J198" s="18">
        <v>100.95</v>
      </c>
      <c r="K198" s="18">
        <v>0</v>
      </c>
      <c r="L198" s="19">
        <f>SUM(F198:K198)</f>
        <v>3426081.5500000003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47185.69</v>
      </c>
      <c r="G200" s="18">
        <v>8740.9</v>
      </c>
      <c r="H200" s="18">
        <v>4220</v>
      </c>
      <c r="I200" s="18">
        <v>0</v>
      </c>
      <c r="J200" s="18">
        <v>0</v>
      </c>
      <c r="K200" s="18">
        <v>0</v>
      </c>
      <c r="L200" s="19">
        <f>SUM(F200:K200)</f>
        <v>60146.590000000004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1651172.59</v>
      </c>
      <c r="G202" s="18">
        <v>840330.05</v>
      </c>
      <c r="H202" s="18">
        <v>81133.52</v>
      </c>
      <c r="I202" s="18">
        <v>20995.17</v>
      </c>
      <c r="J202" s="18">
        <v>66637.42</v>
      </c>
      <c r="K202" s="18">
        <v>3006</v>
      </c>
      <c r="L202" s="19">
        <f t="shared" ref="L202:L208" si="0">SUM(F202:K202)</f>
        <v>2663274.75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231347.33</v>
      </c>
      <c r="G203" s="18">
        <v>206988.51</v>
      </c>
      <c r="H203" s="18">
        <v>1492.11</v>
      </c>
      <c r="I203" s="18">
        <v>28109.91</v>
      </c>
      <c r="J203" s="18">
        <v>0</v>
      </c>
      <c r="K203" s="18">
        <v>0</v>
      </c>
      <c r="L203" s="19">
        <f t="shared" si="0"/>
        <v>467937.85999999993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197918.03</v>
      </c>
      <c r="G204" s="18">
        <v>88863.46</v>
      </c>
      <c r="H204" s="18">
        <v>67787.520000000004</v>
      </c>
      <c r="I204" s="18">
        <v>2972.1</v>
      </c>
      <c r="J204" s="18">
        <v>0</v>
      </c>
      <c r="K204" s="18">
        <v>7081.08</v>
      </c>
      <c r="L204" s="19">
        <f t="shared" si="0"/>
        <v>364622.19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691778.44</v>
      </c>
      <c r="G205" s="18">
        <v>331953.21000000002</v>
      </c>
      <c r="H205" s="18">
        <v>1695.43</v>
      </c>
      <c r="I205" s="18">
        <v>1431.54</v>
      </c>
      <c r="J205" s="18">
        <v>0</v>
      </c>
      <c r="K205" s="18">
        <v>0</v>
      </c>
      <c r="L205" s="19">
        <f t="shared" si="0"/>
        <v>1026858.62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105290.6</v>
      </c>
      <c r="G206" s="18">
        <v>105301.83</v>
      </c>
      <c r="H206" s="18">
        <v>69147.41</v>
      </c>
      <c r="I206" s="18">
        <v>1129.78</v>
      </c>
      <c r="J206" s="18">
        <v>0</v>
      </c>
      <c r="K206" s="18">
        <v>37.159999999999997</v>
      </c>
      <c r="L206" s="19">
        <f t="shared" si="0"/>
        <v>280906.77999999997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509059.69</v>
      </c>
      <c r="G207" s="18">
        <v>316396.59000000003</v>
      </c>
      <c r="H207" s="18">
        <v>239921.74</v>
      </c>
      <c r="I207" s="18">
        <v>210827.41</v>
      </c>
      <c r="J207" s="18">
        <v>17501.7</v>
      </c>
      <c r="K207" s="18">
        <v>38010.589999999997</v>
      </c>
      <c r="L207" s="19">
        <f t="shared" si="0"/>
        <v>1331717.72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419239.73</v>
      </c>
      <c r="I208" s="18">
        <v>0</v>
      </c>
      <c r="J208" s="18">
        <v>0</v>
      </c>
      <c r="K208" s="18">
        <v>0</v>
      </c>
      <c r="L208" s="19">
        <f t="shared" si="0"/>
        <v>419239.73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206176.17</v>
      </c>
      <c r="G209" s="18">
        <v>89745.64</v>
      </c>
      <c r="H209" s="18">
        <v>16151.43</v>
      </c>
      <c r="I209" s="18">
        <v>23065.43</v>
      </c>
      <c r="J209" s="18">
        <v>0</v>
      </c>
      <c r="K209" s="18">
        <v>743.2</v>
      </c>
      <c r="L209" s="19">
        <f>SUM(F209:K209)</f>
        <v>335881.87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10371209.77</v>
      </c>
      <c r="G211" s="41">
        <f t="shared" si="1"/>
        <v>5814212.959999999</v>
      </c>
      <c r="H211" s="41">
        <f t="shared" si="1"/>
        <v>1268537.8699999999</v>
      </c>
      <c r="I211" s="41">
        <f t="shared" si="1"/>
        <v>450483.88000000006</v>
      </c>
      <c r="J211" s="41">
        <f t="shared" si="1"/>
        <v>98802.52</v>
      </c>
      <c r="K211" s="41">
        <f t="shared" si="1"/>
        <v>48878.029999999992</v>
      </c>
      <c r="L211" s="41">
        <f t="shared" si="1"/>
        <v>18052125.030000001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2506048.64</v>
      </c>
      <c r="G215" s="18">
        <v>1174107.0900000001</v>
      </c>
      <c r="H215" s="18">
        <v>5052.51</v>
      </c>
      <c r="I215" s="18">
        <v>83123.13</v>
      </c>
      <c r="J215" s="18">
        <v>3000</v>
      </c>
      <c r="K215" s="18">
        <v>0</v>
      </c>
      <c r="L215" s="19">
        <f>SUM(F215:K215)</f>
        <v>3771331.37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829018.7</v>
      </c>
      <c r="G216" s="18">
        <v>654667.82999999996</v>
      </c>
      <c r="H216" s="18">
        <v>64768.63</v>
      </c>
      <c r="I216" s="18">
        <v>2270.87</v>
      </c>
      <c r="J216" s="18">
        <v>569.9</v>
      </c>
      <c r="K216" s="18">
        <v>0</v>
      </c>
      <c r="L216" s="19">
        <f>SUM(F216:K216)</f>
        <v>1551295.9299999997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378051.04</v>
      </c>
      <c r="G217" s="18">
        <v>182347.67</v>
      </c>
      <c r="H217" s="18">
        <v>0</v>
      </c>
      <c r="I217" s="18">
        <v>3377</v>
      </c>
      <c r="J217" s="18">
        <v>1291.9100000000001</v>
      </c>
      <c r="K217" s="18">
        <v>0</v>
      </c>
      <c r="L217" s="19">
        <f>SUM(F217:K217)</f>
        <v>565067.62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73205</v>
      </c>
      <c r="G218" s="18">
        <v>12436.75</v>
      </c>
      <c r="H218" s="18">
        <v>12710</v>
      </c>
      <c r="I218" s="18">
        <v>13455.76</v>
      </c>
      <c r="J218" s="18">
        <v>0</v>
      </c>
      <c r="K218" s="18">
        <v>0</v>
      </c>
      <c r="L218" s="19">
        <f>SUM(F218:K218)</f>
        <v>111807.51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586582.65</v>
      </c>
      <c r="G220" s="18">
        <v>381468.61</v>
      </c>
      <c r="H220" s="18">
        <v>14441.99</v>
      </c>
      <c r="I220" s="18">
        <v>2759.17</v>
      </c>
      <c r="J220" s="18">
        <v>260.88</v>
      </c>
      <c r="K220" s="18">
        <v>0</v>
      </c>
      <c r="L220" s="19">
        <f t="shared" ref="L220:L226" si="2">SUM(F220:K220)</f>
        <v>985513.3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132387.19</v>
      </c>
      <c r="G221" s="18">
        <v>6996.1</v>
      </c>
      <c r="H221" s="18">
        <v>841.62</v>
      </c>
      <c r="I221" s="18">
        <v>16393.47</v>
      </c>
      <c r="J221" s="18">
        <v>37386.79</v>
      </c>
      <c r="K221" s="18">
        <v>0</v>
      </c>
      <c r="L221" s="19">
        <f t="shared" si="2"/>
        <v>194005.17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126524.47</v>
      </c>
      <c r="G222" s="18">
        <v>57401.41</v>
      </c>
      <c r="H222" s="18">
        <v>40249.83</v>
      </c>
      <c r="I222" s="18">
        <v>1676.16</v>
      </c>
      <c r="J222" s="18">
        <v>0</v>
      </c>
      <c r="K222" s="18">
        <v>4264.0600000000004</v>
      </c>
      <c r="L222" s="19">
        <f t="shared" si="2"/>
        <v>230115.93000000002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296293.5</v>
      </c>
      <c r="G223" s="18">
        <v>171331.1</v>
      </c>
      <c r="H223" s="18">
        <v>1645.99</v>
      </c>
      <c r="I223" s="18">
        <v>0</v>
      </c>
      <c r="J223" s="18">
        <v>0</v>
      </c>
      <c r="K223" s="18">
        <v>840</v>
      </c>
      <c r="L223" s="19">
        <f t="shared" si="2"/>
        <v>470110.58999999997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59388.89</v>
      </c>
      <c r="G224" s="18">
        <v>48054.21</v>
      </c>
      <c r="H224" s="18">
        <v>44058.67</v>
      </c>
      <c r="I224" s="18">
        <v>637.25</v>
      </c>
      <c r="J224" s="18">
        <v>0</v>
      </c>
      <c r="K224" s="18">
        <v>20.96</v>
      </c>
      <c r="L224" s="19">
        <f t="shared" si="2"/>
        <v>152159.98000000001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337891.93</v>
      </c>
      <c r="G225" s="18">
        <v>199619.89</v>
      </c>
      <c r="H225" s="18">
        <v>140684.72</v>
      </c>
      <c r="I225" s="18">
        <v>246926.43</v>
      </c>
      <c r="J225" s="18">
        <v>10071.14</v>
      </c>
      <c r="K225" s="18">
        <v>21439.77</v>
      </c>
      <c r="L225" s="19">
        <f t="shared" si="2"/>
        <v>956633.88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326222.78000000003</v>
      </c>
      <c r="I226" s="18">
        <v>0</v>
      </c>
      <c r="J226" s="18">
        <v>0</v>
      </c>
      <c r="K226" s="18"/>
      <c r="L226" s="19">
        <f t="shared" si="2"/>
        <v>326222.78000000003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116293.12</v>
      </c>
      <c r="G227" s="18">
        <v>50620.82</v>
      </c>
      <c r="H227" s="18">
        <v>9110.17</v>
      </c>
      <c r="I227" s="18">
        <v>13010</v>
      </c>
      <c r="J227" s="18">
        <v>0</v>
      </c>
      <c r="K227" s="18">
        <v>419.2</v>
      </c>
      <c r="L227" s="19">
        <f>SUM(F227:K227)</f>
        <v>189453.31000000003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5441685.1299999999</v>
      </c>
      <c r="G229" s="41">
        <f>SUM(G215:G228)</f>
        <v>2939051.48</v>
      </c>
      <c r="H229" s="41">
        <f>SUM(H215:H228)</f>
        <v>659786.91</v>
      </c>
      <c r="I229" s="41">
        <f>SUM(I215:I228)</f>
        <v>383629.24</v>
      </c>
      <c r="J229" s="41">
        <f>SUM(J215:J228)</f>
        <v>52580.62</v>
      </c>
      <c r="K229" s="41">
        <f t="shared" si="3"/>
        <v>26983.99</v>
      </c>
      <c r="L229" s="41">
        <f t="shared" si="3"/>
        <v>9503717.3699999992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5236089.8600000003</v>
      </c>
      <c r="G233" s="18">
        <v>2551539.27</v>
      </c>
      <c r="H233" s="18">
        <v>8654.5300000000007</v>
      </c>
      <c r="I233" s="18">
        <v>133904.39000000001</v>
      </c>
      <c r="J233" s="18">
        <v>36829.79</v>
      </c>
      <c r="K233" s="18">
        <v>2542.15</v>
      </c>
      <c r="L233" s="19">
        <f>SUM(F233:K233)</f>
        <v>7969559.9900000012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444845.87</v>
      </c>
      <c r="G234" s="18">
        <v>656688.38</v>
      </c>
      <c r="H234" s="18">
        <v>489090.72</v>
      </c>
      <c r="I234" s="18">
        <v>1741.88</v>
      </c>
      <c r="J234" s="18">
        <v>0</v>
      </c>
      <c r="K234" s="18">
        <v>0</v>
      </c>
      <c r="L234" s="19">
        <f>SUM(F234:K234)</f>
        <v>1592366.8499999999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505210.3</v>
      </c>
      <c r="G235" s="18">
        <v>309063.89</v>
      </c>
      <c r="H235" s="18">
        <v>11286.51</v>
      </c>
      <c r="I235" s="18">
        <v>25466.98</v>
      </c>
      <c r="J235" s="18">
        <v>3335.55</v>
      </c>
      <c r="K235" s="18">
        <v>0</v>
      </c>
      <c r="L235" s="19">
        <f>SUM(F235:K235)</f>
        <v>854363.23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291280.5</v>
      </c>
      <c r="G236" s="18">
        <v>44337.02</v>
      </c>
      <c r="H236" s="18">
        <v>99177.58</v>
      </c>
      <c r="I236" s="18">
        <v>69748.36</v>
      </c>
      <c r="J236" s="18">
        <v>0</v>
      </c>
      <c r="K236" s="18">
        <v>0</v>
      </c>
      <c r="L236" s="19">
        <f>SUM(F236:K236)</f>
        <v>504543.46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1124474.8799999999</v>
      </c>
      <c r="G238" s="18">
        <v>417456.38</v>
      </c>
      <c r="H238" s="18">
        <v>31713.56</v>
      </c>
      <c r="I238" s="18">
        <v>16983.89</v>
      </c>
      <c r="J238" s="18">
        <v>521.26</v>
      </c>
      <c r="K238" s="18">
        <v>13114.7</v>
      </c>
      <c r="L238" s="19">
        <f t="shared" ref="L238:L244" si="4">SUM(F238:K238)</f>
        <v>1604264.6699999997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97584.23</v>
      </c>
      <c r="G239" s="18">
        <v>62546.64</v>
      </c>
      <c r="H239" s="18">
        <v>4494.6400000000003</v>
      </c>
      <c r="I239" s="18">
        <v>21615.41</v>
      </c>
      <c r="J239" s="18">
        <v>77349.14</v>
      </c>
      <c r="K239" s="18">
        <v>300</v>
      </c>
      <c r="L239" s="19">
        <f t="shared" si="4"/>
        <v>263890.06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470903.23</v>
      </c>
      <c r="G240" s="18">
        <v>193783.6</v>
      </c>
      <c r="H240" s="18">
        <v>86908.55</v>
      </c>
      <c r="I240" s="18">
        <v>3349.1</v>
      </c>
      <c r="J240" s="18">
        <v>50000</v>
      </c>
      <c r="K240" s="18">
        <v>26514.26</v>
      </c>
      <c r="L240" s="19">
        <f t="shared" si="4"/>
        <v>831458.74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564543.36</v>
      </c>
      <c r="G241" s="18">
        <v>403962.8</v>
      </c>
      <c r="H241" s="18">
        <v>64067.01</v>
      </c>
      <c r="I241" s="18">
        <v>1574.33</v>
      </c>
      <c r="J241" s="18">
        <v>0</v>
      </c>
      <c r="K241" s="18">
        <v>3845</v>
      </c>
      <c r="L241" s="19">
        <f t="shared" si="4"/>
        <v>1037992.4999999999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118664.44</v>
      </c>
      <c r="G242" s="18">
        <v>118677.73</v>
      </c>
      <c r="H242" s="18">
        <v>83464.62</v>
      </c>
      <c r="I242" s="18">
        <v>1273.28</v>
      </c>
      <c r="J242" s="18">
        <v>0</v>
      </c>
      <c r="K242" s="18">
        <v>41.88</v>
      </c>
      <c r="L242" s="19">
        <f t="shared" si="4"/>
        <v>322121.95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548753.06999999995</v>
      </c>
      <c r="G243" s="18">
        <v>383379.35</v>
      </c>
      <c r="H243" s="18">
        <v>657550.26</v>
      </c>
      <c r="I243" s="18">
        <v>587685.98</v>
      </c>
      <c r="J243" s="18">
        <v>24460.26</v>
      </c>
      <c r="K243" s="18">
        <v>54838.63</v>
      </c>
      <c r="L243" s="19">
        <f t="shared" si="4"/>
        <v>2256667.5499999998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v>328321.23</v>
      </c>
      <c r="I244" s="18">
        <v>0</v>
      </c>
      <c r="J244" s="18">
        <v>0</v>
      </c>
      <c r="K244" s="18">
        <v>0</v>
      </c>
      <c r="L244" s="19">
        <f t="shared" si="4"/>
        <v>328321.23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232364.31</v>
      </c>
      <c r="G245" s="18">
        <v>101145.57</v>
      </c>
      <c r="H245" s="18">
        <v>18202.96</v>
      </c>
      <c r="I245" s="18">
        <v>26054.799999999999</v>
      </c>
      <c r="J245" s="18">
        <v>0</v>
      </c>
      <c r="K245" s="18">
        <v>837.6</v>
      </c>
      <c r="L245" s="19">
        <f>SUM(F245:K245)</f>
        <v>378605.24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9634714.0500000007</v>
      </c>
      <c r="G247" s="41">
        <f t="shared" si="5"/>
        <v>5242580.63</v>
      </c>
      <c r="H247" s="41">
        <f t="shared" si="5"/>
        <v>1882932.17</v>
      </c>
      <c r="I247" s="41">
        <f t="shared" si="5"/>
        <v>889398.40000000014</v>
      </c>
      <c r="J247" s="41">
        <f t="shared" si="5"/>
        <v>192496</v>
      </c>
      <c r="K247" s="41">
        <f t="shared" si="5"/>
        <v>102034.22</v>
      </c>
      <c r="L247" s="41">
        <f t="shared" si="5"/>
        <v>17944155.470000003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25447608.949999999</v>
      </c>
      <c r="G257" s="41">
        <f t="shared" si="8"/>
        <v>13995845.07</v>
      </c>
      <c r="H257" s="41">
        <f t="shared" si="8"/>
        <v>3811256.9499999997</v>
      </c>
      <c r="I257" s="41">
        <f t="shared" si="8"/>
        <v>1723511.5200000003</v>
      </c>
      <c r="J257" s="41">
        <f t="shared" si="8"/>
        <v>343879.14</v>
      </c>
      <c r="K257" s="41">
        <f t="shared" si="8"/>
        <v>177896.24</v>
      </c>
      <c r="L257" s="41">
        <f t="shared" si="8"/>
        <v>45499997.870000005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65241.97</v>
      </c>
      <c r="L263" s="19">
        <f>SUM(F263:K263)</f>
        <v>65241.97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1007791</v>
      </c>
      <c r="L264" s="19">
        <f t="shared" ref="L264:L270" si="9">SUM(F264:K264)</f>
        <v>1007791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1073032.97</v>
      </c>
      <c r="L270" s="41">
        <f t="shared" si="9"/>
        <v>1073032.97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25447608.949999999</v>
      </c>
      <c r="G271" s="42">
        <f t="shared" si="11"/>
        <v>13995845.07</v>
      </c>
      <c r="H271" s="42">
        <f t="shared" si="11"/>
        <v>3811256.9499999997</v>
      </c>
      <c r="I271" s="42">
        <f t="shared" si="11"/>
        <v>1723511.5200000003</v>
      </c>
      <c r="J271" s="42">
        <f t="shared" si="11"/>
        <v>343879.14</v>
      </c>
      <c r="K271" s="42">
        <f t="shared" si="11"/>
        <v>1250929.21</v>
      </c>
      <c r="L271" s="42">
        <f t="shared" si="11"/>
        <v>46573030.840000004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360430.51</v>
      </c>
      <c r="G276" s="18">
        <v>60758.05</v>
      </c>
      <c r="H276" s="18">
        <v>0</v>
      </c>
      <c r="I276" s="18">
        <v>804.98</v>
      </c>
      <c r="J276" s="18">
        <v>0</v>
      </c>
      <c r="K276" s="18">
        <v>0</v>
      </c>
      <c r="L276" s="19">
        <f>SUM(F276:K276)</f>
        <v>421993.54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492748.35</v>
      </c>
      <c r="G277" s="18">
        <v>62273.2</v>
      </c>
      <c r="H277" s="18">
        <v>12102.52</v>
      </c>
      <c r="I277" s="18">
        <v>10208.89</v>
      </c>
      <c r="J277" s="18">
        <v>1222.4000000000001</v>
      </c>
      <c r="K277" s="18">
        <v>0</v>
      </c>
      <c r="L277" s="19">
        <f>SUM(F277:K277)</f>
        <v>578555.36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270</v>
      </c>
      <c r="G279" s="18">
        <v>49.26</v>
      </c>
      <c r="H279" s="18">
        <v>108366.93</v>
      </c>
      <c r="I279" s="18">
        <v>16010.11</v>
      </c>
      <c r="J279" s="18">
        <v>1699.95</v>
      </c>
      <c r="K279" s="18">
        <v>0</v>
      </c>
      <c r="L279" s="19">
        <f>SUM(F279:K279)</f>
        <v>126396.24999999999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750</v>
      </c>
      <c r="G281" s="18">
        <v>191.06</v>
      </c>
      <c r="H281" s="18">
        <v>13871.91</v>
      </c>
      <c r="I281" s="18">
        <v>579.03</v>
      </c>
      <c r="J281" s="18">
        <v>0</v>
      </c>
      <c r="K281" s="18">
        <v>0</v>
      </c>
      <c r="L281" s="19">
        <f t="shared" ref="L281:L287" si="12">SUM(F281:K281)</f>
        <v>15392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10680.58</v>
      </c>
      <c r="G282" s="18">
        <v>768.95</v>
      </c>
      <c r="H282" s="18">
        <v>83880.100000000006</v>
      </c>
      <c r="I282" s="18">
        <v>2443.14</v>
      </c>
      <c r="J282" s="18">
        <v>0</v>
      </c>
      <c r="K282" s="18">
        <v>850</v>
      </c>
      <c r="L282" s="19">
        <f t="shared" si="12"/>
        <v>98622.77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11034.04</v>
      </c>
      <c r="G283" s="18">
        <v>2051.9699999999998</v>
      </c>
      <c r="H283" s="18"/>
      <c r="I283" s="18">
        <v>0</v>
      </c>
      <c r="J283" s="18">
        <v>0</v>
      </c>
      <c r="K283" s="18">
        <v>0</v>
      </c>
      <c r="L283" s="19">
        <f t="shared" si="12"/>
        <v>13086.01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>
        <v>107965.21</v>
      </c>
      <c r="K286" s="18"/>
      <c r="L286" s="19">
        <f t="shared" si="12"/>
        <v>107965.21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11332.39</v>
      </c>
      <c r="I287" s="18"/>
      <c r="J287" s="18"/>
      <c r="K287" s="18"/>
      <c r="L287" s="19">
        <f t="shared" si="12"/>
        <v>11332.39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875913.48</v>
      </c>
      <c r="G290" s="42">
        <f t="shared" si="13"/>
        <v>126092.48999999999</v>
      </c>
      <c r="H290" s="42">
        <f t="shared" si="13"/>
        <v>229553.84999999998</v>
      </c>
      <c r="I290" s="42">
        <f t="shared" si="13"/>
        <v>30046.149999999998</v>
      </c>
      <c r="J290" s="42">
        <f t="shared" si="13"/>
        <v>110887.56000000001</v>
      </c>
      <c r="K290" s="42">
        <f t="shared" si="13"/>
        <v>850</v>
      </c>
      <c r="L290" s="41">
        <f t="shared" si="13"/>
        <v>1373343.5299999998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507648.63</v>
      </c>
      <c r="G296" s="18">
        <v>92487.77</v>
      </c>
      <c r="H296" s="18">
        <v>10228.81</v>
      </c>
      <c r="I296" s="18">
        <v>5755.96</v>
      </c>
      <c r="J296" s="18">
        <v>4430.74</v>
      </c>
      <c r="K296" s="18">
        <v>0</v>
      </c>
      <c r="L296" s="19">
        <f>SUM(F296:K296)</f>
        <v>620551.91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>
        <v>1150</v>
      </c>
      <c r="H298" s="18"/>
      <c r="I298" s="18"/>
      <c r="J298" s="18">
        <v>500</v>
      </c>
      <c r="K298" s="18"/>
      <c r="L298" s="19">
        <f>SUM(F298:K298)</f>
        <v>1650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>
        <v>15750.82</v>
      </c>
      <c r="I300" s="18"/>
      <c r="J300" s="18"/>
      <c r="K300" s="18"/>
      <c r="L300" s="19">
        <f t="shared" ref="L300:L306" si="14">SUM(F300:K300)</f>
        <v>15750.82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2919.19</v>
      </c>
      <c r="G301" s="18">
        <v>222.91</v>
      </c>
      <c r="H301" s="18">
        <v>1118.81</v>
      </c>
      <c r="I301" s="18">
        <v>1705.16</v>
      </c>
      <c r="J301" s="18"/>
      <c r="K301" s="18">
        <v>200</v>
      </c>
      <c r="L301" s="19">
        <f t="shared" si="14"/>
        <v>6166.07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14954.1</v>
      </c>
      <c r="G302" s="18">
        <v>2780.97</v>
      </c>
      <c r="H302" s="18"/>
      <c r="I302" s="18"/>
      <c r="J302" s="18"/>
      <c r="K302" s="18"/>
      <c r="L302" s="19">
        <f t="shared" si="14"/>
        <v>17735.07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525521.92000000004</v>
      </c>
      <c r="G309" s="42">
        <f t="shared" si="15"/>
        <v>96641.650000000009</v>
      </c>
      <c r="H309" s="42">
        <f t="shared" si="15"/>
        <v>27098.44</v>
      </c>
      <c r="I309" s="42">
        <f t="shared" si="15"/>
        <v>7461.12</v>
      </c>
      <c r="J309" s="42">
        <f t="shared" si="15"/>
        <v>4930.74</v>
      </c>
      <c r="K309" s="42">
        <f t="shared" si="15"/>
        <v>200</v>
      </c>
      <c r="L309" s="41">
        <f t="shared" si="15"/>
        <v>661853.86999999988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26405.93</v>
      </c>
      <c r="G314" s="18">
        <v>7197.4</v>
      </c>
      <c r="H314" s="18">
        <v>74.260000000000005</v>
      </c>
      <c r="I314" s="18">
        <v>97.78</v>
      </c>
      <c r="J314" s="18"/>
      <c r="K314" s="18"/>
      <c r="L314" s="19">
        <f>SUM(F314:K314)</f>
        <v>33775.370000000003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1305086.8400000001</v>
      </c>
      <c r="G315" s="18">
        <v>256598.19</v>
      </c>
      <c r="H315" s="18">
        <v>18905.43</v>
      </c>
      <c r="I315" s="18">
        <v>27179.96</v>
      </c>
      <c r="J315" s="18">
        <v>5886.79</v>
      </c>
      <c r="K315" s="18">
        <v>685</v>
      </c>
      <c r="L315" s="19">
        <f>SUM(F315:K315)</f>
        <v>1614342.21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26180</v>
      </c>
      <c r="G316" s="18">
        <v>4942.74</v>
      </c>
      <c r="H316" s="18">
        <v>8618.2900000000009</v>
      </c>
      <c r="I316" s="18">
        <v>5152.54</v>
      </c>
      <c r="J316" s="18">
        <v>20611.099999999999</v>
      </c>
      <c r="K316" s="18"/>
      <c r="L316" s="19">
        <f>SUM(F316:K316)</f>
        <v>65504.67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4800</v>
      </c>
      <c r="G317" s="18">
        <v>1024.8800000000001</v>
      </c>
      <c r="H317" s="18">
        <v>90706.03</v>
      </c>
      <c r="I317" s="18">
        <v>6953</v>
      </c>
      <c r="J317" s="18"/>
      <c r="K317" s="18"/>
      <c r="L317" s="19">
        <f>SUM(F317:K317)</f>
        <v>103483.91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43379.44</v>
      </c>
      <c r="G319" s="18">
        <v>10797.28</v>
      </c>
      <c r="H319" s="18">
        <v>24303.19</v>
      </c>
      <c r="I319" s="18"/>
      <c r="J319" s="18"/>
      <c r="K319" s="18">
        <v>1661.04</v>
      </c>
      <c r="L319" s="19">
        <f t="shared" ref="L319:L325" si="16">SUM(F319:K319)</f>
        <v>80140.95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2919.19</v>
      </c>
      <c r="G320" s="18">
        <v>222.91</v>
      </c>
      <c r="H320" s="18">
        <v>1118.8399999999999</v>
      </c>
      <c r="I320" s="18">
        <v>1705.19</v>
      </c>
      <c r="J320" s="18"/>
      <c r="K320" s="18">
        <v>122.3</v>
      </c>
      <c r="L320" s="19">
        <f t="shared" si="16"/>
        <v>6088.4299999999994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111894.96</v>
      </c>
      <c r="G321" s="18">
        <v>14864.57</v>
      </c>
      <c r="H321" s="18"/>
      <c r="I321" s="18"/>
      <c r="J321" s="18"/>
      <c r="K321" s="18"/>
      <c r="L321" s="19">
        <f t="shared" si="16"/>
        <v>126759.53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104328.08</v>
      </c>
      <c r="G322" s="18">
        <v>26006.33</v>
      </c>
      <c r="H322" s="18"/>
      <c r="I322" s="18"/>
      <c r="J322" s="18"/>
      <c r="K322" s="18"/>
      <c r="L322" s="19">
        <f t="shared" si="16"/>
        <v>130334.41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>
        <v>1845.78</v>
      </c>
      <c r="I323" s="18"/>
      <c r="J323" s="18"/>
      <c r="K323" s="18"/>
      <c r="L323" s="19">
        <f t="shared" si="16"/>
        <v>1845.78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21030.13</v>
      </c>
      <c r="G324" s="18">
        <v>3964.51</v>
      </c>
      <c r="H324" s="18">
        <v>4762.34</v>
      </c>
      <c r="I324" s="18">
        <v>25685.48</v>
      </c>
      <c r="J324" s="18"/>
      <c r="K324" s="18"/>
      <c r="L324" s="19">
        <f t="shared" si="16"/>
        <v>55442.46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3453.36</v>
      </c>
      <c r="I325" s="18"/>
      <c r="J325" s="18"/>
      <c r="K325" s="18"/>
      <c r="L325" s="19">
        <f t="shared" si="16"/>
        <v>3453.36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1646024.5699999998</v>
      </c>
      <c r="G328" s="42">
        <f t="shared" si="17"/>
        <v>325618.81000000006</v>
      </c>
      <c r="H328" s="42">
        <f t="shared" si="17"/>
        <v>153787.51999999996</v>
      </c>
      <c r="I328" s="42">
        <f t="shared" si="17"/>
        <v>66773.95</v>
      </c>
      <c r="J328" s="42">
        <f t="shared" si="17"/>
        <v>26497.89</v>
      </c>
      <c r="K328" s="42">
        <f t="shared" si="17"/>
        <v>2468.34</v>
      </c>
      <c r="L328" s="41">
        <f t="shared" si="17"/>
        <v>2221171.0799999996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3047459.9699999997</v>
      </c>
      <c r="G338" s="41">
        <f t="shared" si="20"/>
        <v>548352.95000000007</v>
      </c>
      <c r="H338" s="41">
        <f t="shared" si="20"/>
        <v>410439.80999999994</v>
      </c>
      <c r="I338" s="41">
        <f t="shared" si="20"/>
        <v>104281.22</v>
      </c>
      <c r="J338" s="41">
        <f t="shared" si="20"/>
        <v>142316.19</v>
      </c>
      <c r="K338" s="41">
        <f t="shared" si="20"/>
        <v>3518.34</v>
      </c>
      <c r="L338" s="41">
        <f t="shared" si="20"/>
        <v>4256368.4799999995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3047459.9699999997</v>
      </c>
      <c r="G352" s="41">
        <f>G338</f>
        <v>548352.95000000007</v>
      </c>
      <c r="H352" s="41">
        <f>H338</f>
        <v>410439.80999999994</v>
      </c>
      <c r="I352" s="41">
        <f>I338</f>
        <v>104281.22</v>
      </c>
      <c r="J352" s="41">
        <f>J338</f>
        <v>142316.19</v>
      </c>
      <c r="K352" s="47">
        <f>K338+K351</f>
        <v>3518.34</v>
      </c>
      <c r="L352" s="41">
        <f>L338+L351</f>
        <v>4256368.4799999995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158620.15</v>
      </c>
      <c r="G358" s="18">
        <v>24004.47</v>
      </c>
      <c r="H358" s="18">
        <v>13188.76</v>
      </c>
      <c r="I358" s="18">
        <v>132900.73000000001</v>
      </c>
      <c r="J358" s="18">
        <v>0</v>
      </c>
      <c r="K358" s="18">
        <v>187.19</v>
      </c>
      <c r="L358" s="13">
        <f>SUM(F358:K358)</f>
        <v>328901.3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122124.55</v>
      </c>
      <c r="G359" s="18">
        <v>19222.8</v>
      </c>
      <c r="H359" s="18">
        <v>9483.27</v>
      </c>
      <c r="I359" s="18">
        <v>104134.17</v>
      </c>
      <c r="J359" s="18">
        <v>0</v>
      </c>
      <c r="K359" s="18">
        <v>167.11</v>
      </c>
      <c r="L359" s="19">
        <f>SUM(F359:K359)</f>
        <v>255131.89999999997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179638.92</v>
      </c>
      <c r="G360" s="18">
        <v>25827.61</v>
      </c>
      <c r="H360" s="18">
        <v>15056.85</v>
      </c>
      <c r="I360" s="18">
        <v>205138.49</v>
      </c>
      <c r="J360" s="18">
        <v>0</v>
      </c>
      <c r="K360" s="18">
        <v>291.75</v>
      </c>
      <c r="L360" s="19">
        <f>SUM(F360:K360)</f>
        <v>425953.62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460383.62</v>
      </c>
      <c r="G362" s="47">
        <f t="shared" si="22"/>
        <v>69054.880000000005</v>
      </c>
      <c r="H362" s="47">
        <f t="shared" si="22"/>
        <v>37728.879999999997</v>
      </c>
      <c r="I362" s="47">
        <f t="shared" si="22"/>
        <v>442173.39</v>
      </c>
      <c r="J362" s="47">
        <f t="shared" si="22"/>
        <v>0</v>
      </c>
      <c r="K362" s="47">
        <f t="shared" si="22"/>
        <v>646.04999999999995</v>
      </c>
      <c r="L362" s="47">
        <f t="shared" si="22"/>
        <v>1009986.82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120167.78</v>
      </c>
      <c r="G367" s="18">
        <v>94446.25</v>
      </c>
      <c r="H367" s="18">
        <v>187284.9</v>
      </c>
      <c r="I367" s="56">
        <f>SUM(F367:H367)</f>
        <v>401898.93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12732.95</v>
      </c>
      <c r="G368" s="63">
        <v>9687.92</v>
      </c>
      <c r="H368" s="63">
        <v>17853.59</v>
      </c>
      <c r="I368" s="56">
        <f>SUM(F368:H368)</f>
        <v>40274.460000000006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132900.73000000001</v>
      </c>
      <c r="G369" s="47">
        <f>SUM(G367:G368)</f>
        <v>104134.17</v>
      </c>
      <c r="H369" s="47">
        <f>SUM(H367:H368)</f>
        <v>205138.49</v>
      </c>
      <c r="I369" s="47">
        <f>SUM(I367:I368)</f>
        <v>442173.39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 t="s">
        <v>912</v>
      </c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>
        <v>1218327.08</v>
      </c>
      <c r="I405" s="18">
        <v>11855.76</v>
      </c>
      <c r="J405" s="24" t="s">
        <v>286</v>
      </c>
      <c r="K405" s="24" t="s">
        <v>286</v>
      </c>
      <c r="L405" s="56">
        <f>SUM(F405:K405)</f>
        <v>1230182.8400000001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1218327.08</v>
      </c>
      <c r="I407" s="47">
        <f>SUM(I403:I406)</f>
        <v>11855.76</v>
      </c>
      <c r="J407" s="49" t="s">
        <v>286</v>
      </c>
      <c r="K407" s="49" t="s">
        <v>286</v>
      </c>
      <c r="L407" s="47">
        <f>SUM(L403:L406)</f>
        <v>1230182.8400000001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1218327.08</v>
      </c>
      <c r="I408" s="47">
        <f>I393+I401+I407</f>
        <v>11855.76</v>
      </c>
      <c r="J408" s="24" t="s">
        <v>286</v>
      </c>
      <c r="K408" s="24" t="s">
        <v>286</v>
      </c>
      <c r="L408" s="47">
        <f>L393+L401+L407</f>
        <v>1230182.8400000001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 t="s">
        <v>912</v>
      </c>
      <c r="B431" s="6">
        <v>17</v>
      </c>
      <c r="C431" s="6">
        <v>17</v>
      </c>
      <c r="D431" s="2" t="s">
        <v>430</v>
      </c>
      <c r="E431" s="6"/>
      <c r="F431" s="18"/>
      <c r="G431" s="18"/>
      <c r="H431" s="18">
        <v>107625</v>
      </c>
      <c r="I431" s="18"/>
      <c r="J431" s="18"/>
      <c r="K431" s="18">
        <v>22742.18</v>
      </c>
      <c r="L431" s="56">
        <f>SUM(F431:K431)</f>
        <v>130367.18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107625</v>
      </c>
      <c r="I433" s="47">
        <f t="shared" si="31"/>
        <v>0</v>
      </c>
      <c r="J433" s="47">
        <f t="shared" si="31"/>
        <v>0</v>
      </c>
      <c r="K433" s="47">
        <f t="shared" si="31"/>
        <v>22742.18</v>
      </c>
      <c r="L433" s="47">
        <f t="shared" si="31"/>
        <v>130367.18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107625</v>
      </c>
      <c r="I434" s="47">
        <f t="shared" si="32"/>
        <v>0</v>
      </c>
      <c r="J434" s="47">
        <f t="shared" si="32"/>
        <v>0</v>
      </c>
      <c r="K434" s="47">
        <f t="shared" si="32"/>
        <v>22742.18</v>
      </c>
      <c r="L434" s="47">
        <f t="shared" si="32"/>
        <v>130367.18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>
        <v>-42725</v>
      </c>
      <c r="I439" s="56">
        <f t="shared" ref="I439:I445" si="33">SUM(F439:H439)</f>
        <v>-42725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>
        <v>7041386.54</v>
      </c>
      <c r="I441" s="56">
        <f t="shared" si="33"/>
        <v>7041386.54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0</v>
      </c>
      <c r="H446" s="13">
        <f>SUM(H439:H445)</f>
        <v>6998661.54</v>
      </c>
      <c r="I446" s="13">
        <f>SUM(I439:I445)</f>
        <v>6998661.54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>
        <v>6858571.1500000004</v>
      </c>
      <c r="I457" s="56">
        <f t="shared" si="34"/>
        <v>6858571.1500000004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>
        <v>140090.39000000001</v>
      </c>
      <c r="I458" s="56">
        <f t="shared" si="34"/>
        <v>140090.39000000001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0</v>
      </c>
      <c r="H460" s="83">
        <f>SUM(H454:H459)</f>
        <v>6998661.54</v>
      </c>
      <c r="I460" s="83">
        <f>SUM(I454:I459)</f>
        <v>6998661.54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0</v>
      </c>
      <c r="H461" s="42">
        <f>H452+H460</f>
        <v>6998661.54</v>
      </c>
      <c r="I461" s="42">
        <f>I452+I460</f>
        <v>6998661.54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/>
      <c r="G465" s="18">
        <v>31602.38</v>
      </c>
      <c r="H465" s="18">
        <v>609903.89</v>
      </c>
      <c r="I465" s="18"/>
      <c r="J465" s="18">
        <v>5898845.8799999999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46573030.840000004</v>
      </c>
      <c r="G468" s="18">
        <v>981820.76</v>
      </c>
      <c r="H468" s="18">
        <v>4295133.29</v>
      </c>
      <c r="I468" s="18"/>
      <c r="J468" s="18">
        <v>1230182.8400000001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46573030.840000004</v>
      </c>
      <c r="G470" s="53">
        <f>SUM(G468:G469)</f>
        <v>981820.76</v>
      </c>
      <c r="H470" s="53">
        <f>SUM(H468:H469)</f>
        <v>4295133.29</v>
      </c>
      <c r="I470" s="53">
        <f>SUM(I468:I469)</f>
        <v>0</v>
      </c>
      <c r="J470" s="53">
        <f>SUM(J468:J469)</f>
        <v>1230182.8400000001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46573030.840000004</v>
      </c>
      <c r="G472" s="18">
        <v>1009986.82</v>
      </c>
      <c r="H472" s="18">
        <v>4256368.4800000004</v>
      </c>
      <c r="I472" s="18"/>
      <c r="J472" s="18">
        <v>130367.18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46573030.840000004</v>
      </c>
      <c r="G474" s="53">
        <f>SUM(G472:G473)</f>
        <v>1009986.82</v>
      </c>
      <c r="H474" s="53">
        <f>SUM(H472:H473)</f>
        <v>4256368.4800000004</v>
      </c>
      <c r="I474" s="53">
        <f>SUM(I472:I473)</f>
        <v>0</v>
      </c>
      <c r="J474" s="53">
        <f>SUM(J472:J473)</f>
        <v>130367.18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0</v>
      </c>
      <c r="G476" s="53">
        <f>(G465+G470)- G474</f>
        <v>3436.3200000000652</v>
      </c>
      <c r="H476" s="53">
        <f>(H465+H470)- H474</f>
        <v>648668.69999999925</v>
      </c>
      <c r="I476" s="53">
        <f>(I465+I470)- I474</f>
        <v>0</v>
      </c>
      <c r="J476" s="53">
        <f>(J465+J470)- J474</f>
        <v>6998661.54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2191061.61</v>
      </c>
      <c r="G521" s="18">
        <v>1281105.54</v>
      </c>
      <c r="H521" s="18">
        <v>334810.84000000003</v>
      </c>
      <c r="I521" s="18">
        <v>12272.9</v>
      </c>
      <c r="J521" s="18">
        <v>744.92</v>
      </c>
      <c r="K521" s="18"/>
      <c r="L521" s="88">
        <f>SUM(F521:K521)</f>
        <v>3819995.8099999996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1255419.1399999999</v>
      </c>
      <c r="G522" s="18">
        <v>691997.08</v>
      </c>
      <c r="H522" s="18">
        <v>74909.39</v>
      </c>
      <c r="I522" s="18">
        <v>5472.94</v>
      </c>
      <c r="J522" s="18">
        <v>4022.48</v>
      </c>
      <c r="K522" s="18"/>
      <c r="L522" s="88">
        <f>SUM(F522:K522)</f>
        <v>2031821.0299999996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1732204.82</v>
      </c>
      <c r="G523" s="18">
        <v>406428.15999999997</v>
      </c>
      <c r="H523" s="18">
        <v>532496.62</v>
      </c>
      <c r="I523" s="18">
        <v>27717.72</v>
      </c>
      <c r="J523" s="18">
        <v>5886.79</v>
      </c>
      <c r="K523" s="18">
        <v>685</v>
      </c>
      <c r="L523" s="88">
        <f>SUM(F523:K523)</f>
        <v>2705419.1100000003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5178685.57</v>
      </c>
      <c r="G524" s="108">
        <f t="shared" ref="G524:L524" si="36">SUM(G521:G523)</f>
        <v>2379530.7800000003</v>
      </c>
      <c r="H524" s="108">
        <f t="shared" si="36"/>
        <v>942216.85000000009</v>
      </c>
      <c r="I524" s="108">
        <f t="shared" si="36"/>
        <v>45463.56</v>
      </c>
      <c r="J524" s="108">
        <f t="shared" si="36"/>
        <v>10654.189999999999</v>
      </c>
      <c r="K524" s="108">
        <f t="shared" si="36"/>
        <v>685</v>
      </c>
      <c r="L524" s="89">
        <f t="shared" si="36"/>
        <v>8557235.9499999993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580310.75</v>
      </c>
      <c r="G526" s="18">
        <v>234552.5</v>
      </c>
      <c r="H526" s="18">
        <v>70273.899999999994</v>
      </c>
      <c r="I526" s="18">
        <v>3545.64</v>
      </c>
      <c r="J526" s="18"/>
      <c r="K526" s="18"/>
      <c r="L526" s="88">
        <f>SUM(F526:K526)</f>
        <v>888682.79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170908.12</v>
      </c>
      <c r="G527" s="18">
        <v>78841.460000000006</v>
      </c>
      <c r="H527" s="18">
        <v>21512.75</v>
      </c>
      <c r="I527" s="18">
        <v>879.23</v>
      </c>
      <c r="J527" s="18">
        <v>260.88</v>
      </c>
      <c r="K527" s="18"/>
      <c r="L527" s="88">
        <f>SUM(F527:K527)</f>
        <v>272402.44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115223.06</v>
      </c>
      <c r="G528" s="18">
        <v>52848.73</v>
      </c>
      <c r="H528" s="18">
        <v>5543.55</v>
      </c>
      <c r="I528" s="18">
        <v>1756.78</v>
      </c>
      <c r="J528" s="18">
        <v>521.26</v>
      </c>
      <c r="K528" s="18"/>
      <c r="L528" s="88">
        <f>SUM(F528:K528)</f>
        <v>175893.38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866441.92999999993</v>
      </c>
      <c r="G529" s="89">
        <f t="shared" ref="G529:L529" si="37">SUM(G526:G528)</f>
        <v>366242.69</v>
      </c>
      <c r="H529" s="89">
        <f t="shared" si="37"/>
        <v>97330.2</v>
      </c>
      <c r="I529" s="89">
        <f t="shared" si="37"/>
        <v>6181.65</v>
      </c>
      <c r="J529" s="89">
        <f t="shared" si="37"/>
        <v>782.14</v>
      </c>
      <c r="K529" s="89">
        <f t="shared" si="37"/>
        <v>0</v>
      </c>
      <c r="L529" s="89">
        <f t="shared" si="37"/>
        <v>1336978.6099999999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48017.74</v>
      </c>
      <c r="G531" s="18">
        <v>20329.88</v>
      </c>
      <c r="H531" s="18">
        <v>860.81</v>
      </c>
      <c r="I531" s="18"/>
      <c r="J531" s="18"/>
      <c r="K531" s="18"/>
      <c r="L531" s="88">
        <f>SUM(F531:K531)</f>
        <v>69208.429999999993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50942.96</v>
      </c>
      <c r="G532" s="18">
        <v>20719.560000000001</v>
      </c>
      <c r="H532" s="18"/>
      <c r="I532" s="18"/>
      <c r="J532" s="18"/>
      <c r="K532" s="18"/>
      <c r="L532" s="88">
        <f>SUM(F532:K532)</f>
        <v>71662.52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248129.38</v>
      </c>
      <c r="G533" s="18">
        <v>73064.33</v>
      </c>
      <c r="H533" s="18"/>
      <c r="I533" s="18"/>
      <c r="J533" s="18"/>
      <c r="K533" s="18"/>
      <c r="L533" s="88">
        <f>SUM(F533:K533)</f>
        <v>321193.71000000002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347090.08</v>
      </c>
      <c r="G534" s="89">
        <f t="shared" ref="G534:L534" si="38">SUM(G531:G533)</f>
        <v>114113.77</v>
      </c>
      <c r="H534" s="89">
        <f t="shared" si="38"/>
        <v>860.81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462064.66000000003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30301.62</v>
      </c>
      <c r="I536" s="18"/>
      <c r="J536" s="18"/>
      <c r="K536" s="18"/>
      <c r="L536" s="88">
        <f>SUM(F536:K536)</f>
        <v>30301.62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16638.25</v>
      </c>
      <c r="I537" s="18"/>
      <c r="J537" s="18"/>
      <c r="K537" s="18"/>
      <c r="L537" s="88">
        <f>SUM(F537:K537)</f>
        <v>16638.25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33436.269999999997</v>
      </c>
      <c r="I538" s="18"/>
      <c r="J538" s="18"/>
      <c r="K538" s="18"/>
      <c r="L538" s="88">
        <f>SUM(F538:K538)</f>
        <v>33436.269999999997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80376.139999999985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80376.139999999985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109452.84</v>
      </c>
      <c r="I541" s="18"/>
      <c r="J541" s="18"/>
      <c r="K541" s="18"/>
      <c r="L541" s="88">
        <f>SUM(F541:K541)</f>
        <v>109452.84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46220.95</v>
      </c>
      <c r="I542" s="18"/>
      <c r="J542" s="18"/>
      <c r="K542" s="18"/>
      <c r="L542" s="88">
        <f>SUM(F542:K542)</f>
        <v>46220.95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93351.59</v>
      </c>
      <c r="I543" s="18"/>
      <c r="J543" s="18"/>
      <c r="K543" s="18"/>
      <c r="L543" s="88">
        <f>SUM(F543:K543)</f>
        <v>93351.59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249025.37999999998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249025.37999999998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6392217.5800000001</v>
      </c>
      <c r="G545" s="89">
        <f t="shared" ref="G545:L545" si="41">G524+G529+G534+G539+G544</f>
        <v>2859887.24</v>
      </c>
      <c r="H545" s="89">
        <f t="shared" si="41"/>
        <v>1369809.38</v>
      </c>
      <c r="I545" s="89">
        <f t="shared" si="41"/>
        <v>51645.21</v>
      </c>
      <c r="J545" s="89">
        <f t="shared" si="41"/>
        <v>11436.329999999998</v>
      </c>
      <c r="K545" s="89">
        <f t="shared" si="41"/>
        <v>685</v>
      </c>
      <c r="L545" s="89">
        <f t="shared" si="41"/>
        <v>10685680.74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3819995.8099999996</v>
      </c>
      <c r="G549" s="87">
        <f>L526</f>
        <v>888682.79</v>
      </c>
      <c r="H549" s="87">
        <f>L531</f>
        <v>69208.429999999993</v>
      </c>
      <c r="I549" s="87">
        <f>L536</f>
        <v>30301.62</v>
      </c>
      <c r="J549" s="87">
        <f>L541</f>
        <v>109452.84</v>
      </c>
      <c r="K549" s="87">
        <f>SUM(F549:J549)</f>
        <v>4917641.4899999993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2031821.0299999996</v>
      </c>
      <c r="G550" s="87">
        <f>L527</f>
        <v>272402.44</v>
      </c>
      <c r="H550" s="87">
        <f>L532</f>
        <v>71662.52</v>
      </c>
      <c r="I550" s="87">
        <f>L537</f>
        <v>16638.25</v>
      </c>
      <c r="J550" s="87">
        <f>L542</f>
        <v>46220.95</v>
      </c>
      <c r="K550" s="87">
        <f>SUM(F550:J550)</f>
        <v>2438745.19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2705419.1100000003</v>
      </c>
      <c r="G551" s="87">
        <f>L528</f>
        <v>175893.38</v>
      </c>
      <c r="H551" s="87">
        <f>L533</f>
        <v>321193.71000000002</v>
      </c>
      <c r="I551" s="87">
        <f>L538</f>
        <v>33436.269999999997</v>
      </c>
      <c r="J551" s="87">
        <f>L543</f>
        <v>93351.59</v>
      </c>
      <c r="K551" s="87">
        <f>SUM(F551:J551)</f>
        <v>3329294.06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8557235.9499999993</v>
      </c>
      <c r="G552" s="89">
        <f t="shared" si="42"/>
        <v>1336978.6099999999</v>
      </c>
      <c r="H552" s="89">
        <f t="shared" si="42"/>
        <v>462064.66000000003</v>
      </c>
      <c r="I552" s="89">
        <f t="shared" si="42"/>
        <v>80376.139999999985</v>
      </c>
      <c r="J552" s="89">
        <f t="shared" si="42"/>
        <v>249025.37999999998</v>
      </c>
      <c r="K552" s="89">
        <f t="shared" si="42"/>
        <v>10685680.74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>
        <v>776889.37</v>
      </c>
      <c r="G557" s="18">
        <v>163808.26999999999</v>
      </c>
      <c r="H557" s="18">
        <v>9388.98</v>
      </c>
      <c r="I557" s="18">
        <v>9974.2900000000009</v>
      </c>
      <c r="J557" s="18"/>
      <c r="K557" s="18"/>
      <c r="L557" s="88">
        <f>SUM(F557:K557)</f>
        <v>960060.91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>
        <v>95109.49</v>
      </c>
      <c r="H558" s="18">
        <v>21009.55</v>
      </c>
      <c r="I558" s="18"/>
      <c r="J558" s="18"/>
      <c r="K558" s="18"/>
      <c r="L558" s="88">
        <f>SUM(F558:K558)</f>
        <v>116119.04000000001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>
        <v>32055.69</v>
      </c>
      <c r="H559" s="18">
        <v>2410.7399999999998</v>
      </c>
      <c r="I559" s="18">
        <v>86475.13</v>
      </c>
      <c r="J559" s="18"/>
      <c r="K559" s="18"/>
      <c r="L559" s="88">
        <f>SUM(F559:K559)</f>
        <v>120941.56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776889.37</v>
      </c>
      <c r="G560" s="108">
        <f t="shared" si="43"/>
        <v>290973.45</v>
      </c>
      <c r="H560" s="108">
        <f t="shared" si="43"/>
        <v>32809.269999999997</v>
      </c>
      <c r="I560" s="108">
        <f t="shared" si="43"/>
        <v>96449.420000000013</v>
      </c>
      <c r="J560" s="108">
        <f t="shared" si="43"/>
        <v>0</v>
      </c>
      <c r="K560" s="108">
        <f t="shared" si="43"/>
        <v>0</v>
      </c>
      <c r="L560" s="89">
        <f t="shared" si="43"/>
        <v>1197121.51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84126.14</v>
      </c>
      <c r="G562" s="18">
        <v>18463.37</v>
      </c>
      <c r="H562" s="18">
        <v>60.51</v>
      </c>
      <c r="I562" s="18">
        <v>1153.6500000000001</v>
      </c>
      <c r="J562" s="18">
        <v>578.42999999999995</v>
      </c>
      <c r="K562" s="18"/>
      <c r="L562" s="88">
        <f>SUM(F562:K562)</f>
        <v>104382.09999999998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48047.92</v>
      </c>
      <c r="G563" s="18">
        <v>10563.93</v>
      </c>
      <c r="H563" s="18">
        <v>161.47999999999999</v>
      </c>
      <c r="I563" s="18">
        <v>1377.26</v>
      </c>
      <c r="J563" s="18">
        <v>978.16</v>
      </c>
      <c r="K563" s="18"/>
      <c r="L563" s="88">
        <f>SUM(F563:K563)</f>
        <v>61128.750000000007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94214.91</v>
      </c>
      <c r="G564" s="18">
        <v>20658.830000000002</v>
      </c>
      <c r="H564" s="18">
        <v>60.45</v>
      </c>
      <c r="I564" s="18">
        <v>1204.1199999999999</v>
      </c>
      <c r="J564" s="18"/>
      <c r="K564" s="18"/>
      <c r="L564" s="88">
        <f>SUM(F564:K564)</f>
        <v>116138.31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226388.97</v>
      </c>
      <c r="G565" s="89">
        <f t="shared" si="44"/>
        <v>49686.130000000005</v>
      </c>
      <c r="H565" s="89">
        <f t="shared" si="44"/>
        <v>282.44</v>
      </c>
      <c r="I565" s="89">
        <f t="shared" si="44"/>
        <v>3735.0299999999997</v>
      </c>
      <c r="J565" s="89">
        <f t="shared" si="44"/>
        <v>1556.59</v>
      </c>
      <c r="K565" s="89">
        <f t="shared" si="44"/>
        <v>0</v>
      </c>
      <c r="L565" s="89">
        <f t="shared" si="44"/>
        <v>281649.15999999997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16518.96</v>
      </c>
      <c r="G567" s="18">
        <v>1215.1300000000001</v>
      </c>
      <c r="H567" s="18">
        <v>96234.28</v>
      </c>
      <c r="I567" s="18">
        <v>13482.49</v>
      </c>
      <c r="J567" s="18"/>
      <c r="K567" s="18">
        <v>500</v>
      </c>
      <c r="L567" s="88">
        <f>SUM(F567:K567)</f>
        <v>127950.86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>
        <v>1150</v>
      </c>
      <c r="I568" s="18">
        <v>672.04</v>
      </c>
      <c r="J568" s="18"/>
      <c r="K568" s="18"/>
      <c r="L568" s="88">
        <f>SUM(F568:K568)</f>
        <v>1822.04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>
        <v>53393.08</v>
      </c>
      <c r="G569" s="18">
        <v>4084.6</v>
      </c>
      <c r="H569" s="18"/>
      <c r="I569" s="18">
        <v>90</v>
      </c>
      <c r="J569" s="18"/>
      <c r="K569" s="18"/>
      <c r="L569" s="88">
        <f>SUM(F569:K569)</f>
        <v>57567.68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69912.040000000008</v>
      </c>
      <c r="G570" s="193">
        <f t="shared" ref="G570:L570" si="45">SUM(G567:G569)</f>
        <v>5299.73</v>
      </c>
      <c r="H570" s="193">
        <f t="shared" si="45"/>
        <v>97384.28</v>
      </c>
      <c r="I570" s="193">
        <f t="shared" si="45"/>
        <v>14244.529999999999</v>
      </c>
      <c r="J570" s="193">
        <f t="shared" si="45"/>
        <v>0</v>
      </c>
      <c r="K570" s="193">
        <f t="shared" si="45"/>
        <v>500</v>
      </c>
      <c r="L570" s="193">
        <f t="shared" si="45"/>
        <v>187340.58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1073190.3799999999</v>
      </c>
      <c r="G571" s="89">
        <f t="shared" ref="G571:L571" si="46">G560+G565+G570</f>
        <v>345959.31</v>
      </c>
      <c r="H571" s="89">
        <f t="shared" si="46"/>
        <v>130475.98999999999</v>
      </c>
      <c r="I571" s="89">
        <f t="shared" si="46"/>
        <v>114428.98000000001</v>
      </c>
      <c r="J571" s="89">
        <f t="shared" si="46"/>
        <v>1556.59</v>
      </c>
      <c r="K571" s="89">
        <f t="shared" si="46"/>
        <v>500</v>
      </c>
      <c r="L571" s="89">
        <f t="shared" si="46"/>
        <v>1666111.25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255355.29</v>
      </c>
      <c r="G582" s="18">
        <v>64806.36</v>
      </c>
      <c r="H582" s="18">
        <v>483780.39</v>
      </c>
      <c r="I582" s="87">
        <f t="shared" si="47"/>
        <v>803942.04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587.62</v>
      </c>
      <c r="I584" s="87">
        <f t="shared" si="47"/>
        <v>587.62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272118.92</v>
      </c>
      <c r="I591" s="18">
        <v>241450.31</v>
      </c>
      <c r="J591" s="18">
        <v>136189.41</v>
      </c>
      <c r="K591" s="104">
        <f t="shared" ref="K591:K597" si="48">SUM(H591:J591)</f>
        <v>649758.64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109452.84</v>
      </c>
      <c r="I592" s="18">
        <v>46220.95</v>
      </c>
      <c r="J592" s="18">
        <v>93351.59</v>
      </c>
      <c r="K592" s="104">
        <f t="shared" si="48"/>
        <v>249025.37999999998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2235.94</v>
      </c>
      <c r="I594" s="18">
        <v>17551.689999999999</v>
      </c>
      <c r="J594" s="18">
        <v>72496.59</v>
      </c>
      <c r="K594" s="104">
        <f t="shared" si="48"/>
        <v>92284.22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35432.03</v>
      </c>
      <c r="I595" s="18">
        <v>20999.83</v>
      </c>
      <c r="J595" s="18">
        <v>26283.64</v>
      </c>
      <c r="K595" s="104">
        <f t="shared" si="48"/>
        <v>82715.5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419239.73</v>
      </c>
      <c r="I598" s="108">
        <f>SUM(I591:I597)</f>
        <v>326222.78000000003</v>
      </c>
      <c r="J598" s="108">
        <f>SUM(J591:J597)</f>
        <v>328321.23</v>
      </c>
      <c r="K598" s="108">
        <f>SUM(K591:K597)</f>
        <v>1073783.74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55557.24</v>
      </c>
      <c r="I603" s="18">
        <v>2940.3</v>
      </c>
      <c r="J603" s="18">
        <v>66751.28</v>
      </c>
      <c r="K603" s="104">
        <f>SUM(H603:J603)</f>
        <v>125248.82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154132.84</v>
      </c>
      <c r="I604" s="18">
        <v>54571.06</v>
      </c>
      <c r="J604" s="18">
        <v>152242.60999999999</v>
      </c>
      <c r="K604" s="104">
        <f>SUM(H604:J604)</f>
        <v>360946.51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209690.08</v>
      </c>
      <c r="I605" s="108">
        <f>SUM(I602:I604)</f>
        <v>57511.360000000001</v>
      </c>
      <c r="J605" s="108">
        <f>SUM(J602:J604)</f>
        <v>218993.88999999998</v>
      </c>
      <c r="K605" s="108">
        <f>SUM(K602:K604)</f>
        <v>486195.33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270</v>
      </c>
      <c r="G611" s="18">
        <v>49.26</v>
      </c>
      <c r="H611" s="18">
        <v>236.98</v>
      </c>
      <c r="I611" s="18">
        <v>1460.31</v>
      </c>
      <c r="J611" s="18"/>
      <c r="K611" s="18"/>
      <c r="L611" s="88">
        <f>SUM(F611:K611)</f>
        <v>2016.55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6710</v>
      </c>
      <c r="G613" s="18">
        <v>1681.42</v>
      </c>
      <c r="H613" s="18"/>
      <c r="I613" s="18"/>
      <c r="J613" s="18"/>
      <c r="K613" s="18"/>
      <c r="L613" s="88">
        <f>SUM(F613:K613)</f>
        <v>8391.42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6980</v>
      </c>
      <c r="G614" s="108">
        <f t="shared" si="49"/>
        <v>1730.68</v>
      </c>
      <c r="H614" s="108">
        <f t="shared" si="49"/>
        <v>236.98</v>
      </c>
      <c r="I614" s="108">
        <f t="shared" si="49"/>
        <v>1460.31</v>
      </c>
      <c r="J614" s="108">
        <f t="shared" si="49"/>
        <v>0</v>
      </c>
      <c r="K614" s="108">
        <f t="shared" si="49"/>
        <v>0</v>
      </c>
      <c r="L614" s="89">
        <f t="shared" si="49"/>
        <v>10407.969999999999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0</v>
      </c>
      <c r="H617" s="109">
        <f>SUM(F52)</f>
        <v>0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153246.83000000002</v>
      </c>
      <c r="H618" s="109">
        <f>SUM(G52)</f>
        <v>153246.83000000002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648668.69999999995</v>
      </c>
      <c r="H619" s="109">
        <f>SUM(H52)</f>
        <v>648668.69999999995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6998661.54</v>
      </c>
      <c r="H621" s="109">
        <f>SUM(J52)</f>
        <v>6998661.54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3436.32</v>
      </c>
      <c r="H623" s="109">
        <f>G476</f>
        <v>3436.3200000000652</v>
      </c>
      <c r="I623" s="121" t="s">
        <v>102</v>
      </c>
      <c r="J623" s="109">
        <f t="shared" si="50"/>
        <v>-6.5028871176764369E-11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648668.69999999995</v>
      </c>
      <c r="H624" s="109">
        <f>H476</f>
        <v>648668.69999999925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6998661.54</v>
      </c>
      <c r="H626" s="109">
        <f>J476</f>
        <v>6998661.54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46573030.840000004</v>
      </c>
      <c r="H627" s="104">
        <f>SUM(F468)</f>
        <v>46573030.840000004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981820.76</v>
      </c>
      <c r="H628" s="104">
        <f>SUM(G468)</f>
        <v>981820.76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4295133.29</v>
      </c>
      <c r="H629" s="104">
        <f>SUM(H468)</f>
        <v>4295133.29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1230182.8400000001</v>
      </c>
      <c r="H631" s="104">
        <f>SUM(J468)</f>
        <v>1230182.8400000001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46573030.840000004</v>
      </c>
      <c r="H632" s="104">
        <f>SUM(F472)</f>
        <v>46573030.840000004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4256368.4799999995</v>
      </c>
      <c r="H633" s="104">
        <f>SUM(H472)</f>
        <v>4256368.4800000004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442173.39</v>
      </c>
      <c r="H634" s="104">
        <f>I369</f>
        <v>442173.39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1009986.82</v>
      </c>
      <c r="H635" s="104">
        <f>SUM(G472)</f>
        <v>1009986.82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1230182.8400000001</v>
      </c>
      <c r="H637" s="164">
        <f>SUM(J468)</f>
        <v>1230182.8400000001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130367.18</v>
      </c>
      <c r="H638" s="164">
        <f>SUM(J472)</f>
        <v>130367.18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6998661.54</v>
      </c>
      <c r="H641" s="104">
        <f>SUM(H461)</f>
        <v>6998661.54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6998661.54</v>
      </c>
      <c r="H642" s="104">
        <f>SUM(I461)</f>
        <v>6998661.54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1218327.08</v>
      </c>
      <c r="H644" s="104">
        <f>H408</f>
        <v>1218327.08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1230182.8400000001</v>
      </c>
      <c r="H646" s="104">
        <f>L408</f>
        <v>1230182.8400000001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1073783.74</v>
      </c>
      <c r="H647" s="104">
        <f>L208+L226+L244</f>
        <v>1073783.74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486195.33</v>
      </c>
      <c r="H648" s="104">
        <f>(J257+J338)-(J255+J336)</f>
        <v>486195.33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419239.73</v>
      </c>
      <c r="H649" s="104">
        <f>H598</f>
        <v>419239.73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326222.78000000003</v>
      </c>
      <c r="H650" s="104">
        <f>I598</f>
        <v>326222.78000000003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328321.23</v>
      </c>
      <c r="H651" s="104">
        <f>J598</f>
        <v>328321.23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65241.97</v>
      </c>
      <c r="H652" s="104">
        <f>K263+K345</f>
        <v>65241.97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1007791</v>
      </c>
      <c r="H653" s="104">
        <f>K264</f>
        <v>1007791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19754369.860000003</v>
      </c>
      <c r="G660" s="19">
        <f>(L229+L309+L359)</f>
        <v>10420703.139999999</v>
      </c>
      <c r="H660" s="19">
        <f>(L247+L328+L360)</f>
        <v>20591280.170000002</v>
      </c>
      <c r="I660" s="19">
        <f>SUM(F660:H660)</f>
        <v>50766353.170000002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187025.85384258381</v>
      </c>
      <c r="G661" s="19">
        <f>(L359/IF(SUM(L358:L360)=0,1,SUM(L358:L360))*(SUM(G97:G110)))</f>
        <v>145077.75262664119</v>
      </c>
      <c r="H661" s="19">
        <f>(L360/IF(SUM(L358:L360)=0,1,SUM(L358:L360))*(SUM(G97:G110)))</f>
        <v>242213.51353077497</v>
      </c>
      <c r="I661" s="19">
        <f>SUM(F661:H661)</f>
        <v>574317.12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430572.12</v>
      </c>
      <c r="G662" s="19">
        <f>(L226+L306)-(J226+J306)</f>
        <v>326222.78000000003</v>
      </c>
      <c r="H662" s="19">
        <f>(L244+L325)-(J244+J325)</f>
        <v>331774.58999999997</v>
      </c>
      <c r="I662" s="19">
        <f>SUM(F662:H662)</f>
        <v>1088569.49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467061.92</v>
      </c>
      <c r="G663" s="199">
        <f>SUM(G575:G587)+SUM(I602:I604)+L612</f>
        <v>122317.72</v>
      </c>
      <c r="H663" s="199">
        <f>SUM(H575:H587)+SUM(J602:J604)+L613</f>
        <v>711753.32000000007</v>
      </c>
      <c r="I663" s="19">
        <f>SUM(F663:H663)</f>
        <v>1301132.96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18669709.966157418</v>
      </c>
      <c r="G664" s="19">
        <f>G660-SUM(G661:G663)</f>
        <v>9827084.887373358</v>
      </c>
      <c r="H664" s="19">
        <f>H660-SUM(H661:H663)</f>
        <v>19305538.746469226</v>
      </c>
      <c r="I664" s="19">
        <f>I660-SUM(I661:I663)</f>
        <v>47802333.600000001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983.38</v>
      </c>
      <c r="G665" s="248">
        <v>539.94000000000005</v>
      </c>
      <c r="H665" s="248">
        <v>1083.22</v>
      </c>
      <c r="I665" s="19">
        <f>SUM(F665:H665)</f>
        <v>2606.54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18985.240000000002</v>
      </c>
      <c r="G667" s="19">
        <f>ROUND(G664/G665,2)</f>
        <v>18200.330000000002</v>
      </c>
      <c r="H667" s="19">
        <f>ROUND(H664/H665,2)</f>
        <v>17822.36</v>
      </c>
      <c r="I667" s="19">
        <f>ROUND(I664/I665,2)</f>
        <v>18339.38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</v>
      </c>
      <c r="I670" s="19">
        <f>SUM(F670:H670)</f>
        <v>-1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18985.240000000002</v>
      </c>
      <c r="G672" s="19">
        <f>ROUND((G664+G669)/(G665+G670),2)</f>
        <v>18200.330000000002</v>
      </c>
      <c r="H672" s="19">
        <f>ROUND((H664+H669)/(H665+H670),2)</f>
        <v>17838.830000000002</v>
      </c>
      <c r="I672" s="19">
        <f>ROUND((I664+I669)/(I665+I670),2)</f>
        <v>18346.419999999998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zoomScale="140" zoomScaleNormal="140" workbookViewId="0">
      <selection activeCell="C13" sqref="C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Portsmouth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13077576.770000001</v>
      </c>
      <c r="C9" s="229">
        <f>'DOE25'!G197+'DOE25'!G215+'DOE25'!G233+'DOE25'!G276+'DOE25'!G295+'DOE25'!G314</f>
        <v>6302636.4500000002</v>
      </c>
    </row>
    <row r="10" spans="1:3" x14ac:dyDescent="0.2">
      <c r="A10" t="s">
        <v>773</v>
      </c>
      <c r="B10" s="240">
        <v>12573270.560000001</v>
      </c>
      <c r="C10" s="240">
        <v>6242717.9800000004</v>
      </c>
    </row>
    <row r="11" spans="1:3" x14ac:dyDescent="0.2">
      <c r="A11" t="s">
        <v>774</v>
      </c>
      <c r="B11" s="240">
        <v>29019.46</v>
      </c>
      <c r="C11" s="240">
        <v>23559.07</v>
      </c>
    </row>
    <row r="12" spans="1:3" x14ac:dyDescent="0.2">
      <c r="A12" t="s">
        <v>775</v>
      </c>
      <c r="B12" s="240">
        <v>475286.75</v>
      </c>
      <c r="C12" s="240">
        <v>36359.4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13077576.770000001</v>
      </c>
      <c r="C13" s="231">
        <f>SUM(C10:C12)</f>
        <v>6302636.4500000011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5362027.79</v>
      </c>
      <c r="C18" s="229">
        <f>'DOE25'!G198+'DOE25'!G216+'DOE25'!G234+'DOE25'!G277+'DOE25'!G296+'DOE25'!G315</f>
        <v>3039573.5</v>
      </c>
    </row>
    <row r="19" spans="1:3" x14ac:dyDescent="0.2">
      <c r="A19" t="s">
        <v>773</v>
      </c>
      <c r="B19" s="240">
        <v>3193525.86</v>
      </c>
      <c r="C19" s="240">
        <v>1847640.98</v>
      </c>
    </row>
    <row r="20" spans="1:3" x14ac:dyDescent="0.2">
      <c r="A20" t="s">
        <v>774</v>
      </c>
      <c r="B20" s="240">
        <v>2062464.31</v>
      </c>
      <c r="C20" s="240">
        <v>1183820.6299999999</v>
      </c>
    </row>
    <row r="21" spans="1:3" x14ac:dyDescent="0.2">
      <c r="A21" t="s">
        <v>775</v>
      </c>
      <c r="B21" s="240">
        <v>106037.62</v>
      </c>
      <c r="C21" s="240">
        <v>8111.89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5362027.79</v>
      </c>
      <c r="C22" s="231">
        <f>SUM(C19:C21)</f>
        <v>3039573.5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909441.34</v>
      </c>
      <c r="C27" s="234">
        <f>'DOE25'!G199+'DOE25'!G217+'DOE25'!G235+'DOE25'!G278+'DOE25'!G297+'DOE25'!G316</f>
        <v>496354.30000000005</v>
      </c>
    </row>
    <row r="28" spans="1:3" x14ac:dyDescent="0.2">
      <c r="A28" t="s">
        <v>773</v>
      </c>
      <c r="B28" s="240">
        <v>909441.34</v>
      </c>
      <c r="C28" s="240">
        <v>496354.3</v>
      </c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909441.34</v>
      </c>
      <c r="C31" s="231">
        <f>SUM(C28:C30)</f>
        <v>496354.3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416741.19</v>
      </c>
      <c r="C36" s="235">
        <f>'DOE25'!G200+'DOE25'!G218+'DOE25'!G236+'DOE25'!G279+'DOE25'!G298+'DOE25'!G317</f>
        <v>67738.81</v>
      </c>
    </row>
    <row r="37" spans="1:3" x14ac:dyDescent="0.2">
      <c r="A37" t="s">
        <v>773</v>
      </c>
      <c r="B37" s="240">
        <v>416741.19</v>
      </c>
      <c r="C37" s="240">
        <v>67738.81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416741.19</v>
      </c>
      <c r="C40" s="231">
        <f>SUM(C37:C39)</f>
        <v>67738.81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53" sqref="A5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Portsmouth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28082021.470000006</v>
      </c>
      <c r="D5" s="20">
        <f>SUM('DOE25'!L197:L200)+SUM('DOE25'!L215:L218)+SUM('DOE25'!L233:L236)-F5-G5</f>
        <v>28019788.770000007</v>
      </c>
      <c r="E5" s="243"/>
      <c r="F5" s="255">
        <f>SUM('DOE25'!J197:J200)+SUM('DOE25'!J215:J218)+SUM('DOE25'!J233:J236)</f>
        <v>59690.55</v>
      </c>
      <c r="G5" s="53">
        <f>SUM('DOE25'!K197:K200)+SUM('DOE25'!K215:K218)+SUM('DOE25'!K233:K236)</f>
        <v>2542.15</v>
      </c>
      <c r="H5" s="259"/>
    </row>
    <row r="6" spans="1:9" x14ac:dyDescent="0.2">
      <c r="A6" s="32">
        <v>2100</v>
      </c>
      <c r="B6" t="s">
        <v>795</v>
      </c>
      <c r="C6" s="245">
        <f t="shared" si="0"/>
        <v>5253052.72</v>
      </c>
      <c r="D6" s="20">
        <f>'DOE25'!L202+'DOE25'!L220+'DOE25'!L238-F6-G6</f>
        <v>5169512.46</v>
      </c>
      <c r="E6" s="243"/>
      <c r="F6" s="255">
        <f>'DOE25'!J202+'DOE25'!J220+'DOE25'!J238</f>
        <v>67419.56</v>
      </c>
      <c r="G6" s="53">
        <f>'DOE25'!K202+'DOE25'!K220+'DOE25'!K238</f>
        <v>16120.7</v>
      </c>
      <c r="H6" s="259"/>
    </row>
    <row r="7" spans="1:9" x14ac:dyDescent="0.2">
      <c r="A7" s="32">
        <v>2200</v>
      </c>
      <c r="B7" t="s">
        <v>828</v>
      </c>
      <c r="C7" s="245">
        <f t="shared" si="0"/>
        <v>925833.08999999985</v>
      </c>
      <c r="D7" s="20">
        <f>'DOE25'!L203+'DOE25'!L221+'DOE25'!L239-F7-G7</f>
        <v>810797.15999999992</v>
      </c>
      <c r="E7" s="243"/>
      <c r="F7" s="255">
        <f>'DOE25'!J203+'DOE25'!J221+'DOE25'!J239</f>
        <v>114735.93</v>
      </c>
      <c r="G7" s="53">
        <f>'DOE25'!K203+'DOE25'!K221+'DOE25'!K239</f>
        <v>300</v>
      </c>
      <c r="H7" s="259"/>
    </row>
    <row r="8" spans="1:9" x14ac:dyDescent="0.2">
      <c r="A8" s="32">
        <v>2300</v>
      </c>
      <c r="B8" t="s">
        <v>796</v>
      </c>
      <c r="C8" s="245">
        <f t="shared" si="0"/>
        <v>934765.78</v>
      </c>
      <c r="D8" s="243"/>
      <c r="E8" s="20">
        <f>'DOE25'!L204+'DOE25'!L222+'DOE25'!L240-F8-G8-D9-D11</f>
        <v>846906.38</v>
      </c>
      <c r="F8" s="255">
        <f>'DOE25'!J204+'DOE25'!J222+'DOE25'!J240</f>
        <v>50000</v>
      </c>
      <c r="G8" s="53">
        <f>'DOE25'!K204+'DOE25'!K222+'DOE25'!K240</f>
        <v>37859.399999999994</v>
      </c>
      <c r="H8" s="259"/>
    </row>
    <row r="9" spans="1:9" x14ac:dyDescent="0.2">
      <c r="A9" s="32">
        <v>2310</v>
      </c>
      <c r="B9" t="s">
        <v>812</v>
      </c>
      <c r="C9" s="245">
        <f t="shared" si="0"/>
        <v>26257.45</v>
      </c>
      <c r="D9" s="244">
        <v>26257.45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1600</v>
      </c>
      <c r="D10" s="243"/>
      <c r="E10" s="244">
        <v>1600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465173.63</v>
      </c>
      <c r="D11" s="244">
        <v>465173.63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2534961.71</v>
      </c>
      <c r="D12" s="20">
        <f>'DOE25'!L205+'DOE25'!L223+'DOE25'!L241-F12-G12</f>
        <v>2530276.71</v>
      </c>
      <c r="E12" s="243"/>
      <c r="F12" s="255">
        <f>'DOE25'!J205+'DOE25'!J223+'DOE25'!J241</f>
        <v>0</v>
      </c>
      <c r="G12" s="53">
        <f>'DOE25'!K205+'DOE25'!K223+'DOE25'!K241</f>
        <v>4685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755188.71</v>
      </c>
      <c r="D13" s="243"/>
      <c r="E13" s="20">
        <f>'DOE25'!L206+'DOE25'!L224+'DOE25'!L242-F13-G13</f>
        <v>755088.71</v>
      </c>
      <c r="F13" s="255">
        <f>'DOE25'!J206+'DOE25'!J224+'DOE25'!J242</f>
        <v>0</v>
      </c>
      <c r="G13" s="53">
        <f>'DOE25'!K206+'DOE25'!K224+'DOE25'!K242</f>
        <v>100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4545019.1500000004</v>
      </c>
      <c r="D14" s="20">
        <f>'DOE25'!L207+'DOE25'!L225+'DOE25'!L243-F14-G14</f>
        <v>4378697.0600000005</v>
      </c>
      <c r="E14" s="243"/>
      <c r="F14" s="255">
        <f>'DOE25'!J207+'DOE25'!J225+'DOE25'!J243</f>
        <v>52033.1</v>
      </c>
      <c r="G14" s="53">
        <f>'DOE25'!K207+'DOE25'!K225+'DOE25'!K243</f>
        <v>114288.98999999999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1073783.74</v>
      </c>
      <c r="D15" s="20">
        <f>'DOE25'!L208+'DOE25'!L226+'DOE25'!L244-F15-G15</f>
        <v>1073783.74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903940.42</v>
      </c>
      <c r="D16" s="243"/>
      <c r="E16" s="20">
        <f>'DOE25'!L209+'DOE25'!L227+'DOE25'!L245-F16-G16</f>
        <v>901940.42</v>
      </c>
      <c r="F16" s="255">
        <f>'DOE25'!J209+'DOE25'!J227+'DOE25'!J245</f>
        <v>0</v>
      </c>
      <c r="G16" s="53">
        <f>'DOE25'!K209+'DOE25'!K227+'DOE25'!K245</f>
        <v>2000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608087.8899999999</v>
      </c>
      <c r="D29" s="20">
        <f>'DOE25'!L358+'DOE25'!L359+'DOE25'!L360-'DOE25'!I367-F29-G29</f>
        <v>607441.83999999985</v>
      </c>
      <c r="E29" s="243"/>
      <c r="F29" s="255">
        <f>'DOE25'!J358+'DOE25'!J359+'DOE25'!J360</f>
        <v>0</v>
      </c>
      <c r="G29" s="53">
        <f>'DOE25'!K358+'DOE25'!K359+'DOE25'!K360</f>
        <v>646.04999999999995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4256368.4799999995</v>
      </c>
      <c r="D31" s="20">
        <f>'DOE25'!L290+'DOE25'!L309+'DOE25'!L328+'DOE25'!L333+'DOE25'!L334+'DOE25'!L335-F31-G31</f>
        <v>4110533.9499999997</v>
      </c>
      <c r="E31" s="243"/>
      <c r="F31" s="255">
        <f>'DOE25'!J290+'DOE25'!J309+'DOE25'!J328+'DOE25'!J333+'DOE25'!J334+'DOE25'!J335</f>
        <v>142316.19</v>
      </c>
      <c r="G31" s="53">
        <f>'DOE25'!K290+'DOE25'!K309+'DOE25'!K328+'DOE25'!K333+'DOE25'!K334+'DOE25'!K335</f>
        <v>3518.34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47192262.770000026</v>
      </c>
      <c r="E33" s="246">
        <f>SUM(E5:E31)</f>
        <v>2505535.5099999998</v>
      </c>
      <c r="F33" s="246">
        <f>SUM(F5:F31)</f>
        <v>486195.32999999996</v>
      </c>
      <c r="G33" s="246">
        <f>SUM(G5:G31)</f>
        <v>182060.62999999998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2505535.5099999998</v>
      </c>
      <c r="E35" s="249"/>
    </row>
    <row r="36" spans="2:8" ht="12" thickTop="1" x14ac:dyDescent="0.2">
      <c r="B36" t="s">
        <v>809</v>
      </c>
      <c r="D36" s="20">
        <f>D33</f>
        <v>47192262.770000026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Portsmouth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21594.67</v>
      </c>
      <c r="E8" s="95">
        <f>'DOE25'!H9</f>
        <v>0</v>
      </c>
      <c r="F8" s="95">
        <f>'DOE25'!I9</f>
        <v>0</v>
      </c>
      <c r="G8" s="95">
        <f>'DOE25'!J9</f>
        <v>-42725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60000</v>
      </c>
      <c r="E11" s="95">
        <f>'DOE25'!H12</f>
        <v>648668.69999999995</v>
      </c>
      <c r="F11" s="95">
        <f>'DOE25'!I12</f>
        <v>0</v>
      </c>
      <c r="G11" s="95">
        <f>'DOE25'!J12</f>
        <v>7041386.54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26494.959999999999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45157.2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153246.83000000002</v>
      </c>
      <c r="E18" s="41">
        <f>SUM(E8:E17)</f>
        <v>648668.69999999995</v>
      </c>
      <c r="F18" s="41">
        <f>SUM(F8:F17)</f>
        <v>0</v>
      </c>
      <c r="G18" s="41">
        <f>SUM(G8:G17)</f>
        <v>6998661.54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89467.51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306.89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36175.129999999997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23860.98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149810.51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6858571.1500000004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140090.39000000001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3436.32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648668.69999999995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0</v>
      </c>
      <c r="D50" s="41">
        <f>SUM(D34:D49)</f>
        <v>3436.32</v>
      </c>
      <c r="E50" s="41">
        <f>SUM(E34:E49)</f>
        <v>648668.69999999995</v>
      </c>
      <c r="F50" s="41">
        <f>SUM(F34:F49)</f>
        <v>0</v>
      </c>
      <c r="G50" s="41">
        <f>SUM(G34:G49)</f>
        <v>6998661.54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0</v>
      </c>
      <c r="D51" s="41">
        <f>D50+D31</f>
        <v>153246.83000000002</v>
      </c>
      <c r="E51" s="41">
        <f>E50+E31</f>
        <v>648668.69999999995</v>
      </c>
      <c r="F51" s="41">
        <f>F50+F31</f>
        <v>0</v>
      </c>
      <c r="G51" s="41">
        <f>G50+G31</f>
        <v>6998661.54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26637318.129999999</v>
      </c>
      <c r="D56" s="95">
        <f>'DOE25'!G60</f>
        <v>0</v>
      </c>
      <c r="E56" s="95">
        <f>'DOE25'!H60</f>
        <v>232948.72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6649621.5099999998</v>
      </c>
      <c r="D57" s="24" t="s">
        <v>286</v>
      </c>
      <c r="E57" s="95">
        <f>'DOE25'!H79</f>
        <v>822784.01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1218327.08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574317.12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11778.75</v>
      </c>
      <c r="D61" s="95">
        <f>SUM('DOE25'!G98:G110)</f>
        <v>0</v>
      </c>
      <c r="E61" s="95">
        <f>SUM('DOE25'!H98:H110)</f>
        <v>321399.95</v>
      </c>
      <c r="F61" s="95">
        <f>SUM('DOE25'!I98:I110)</f>
        <v>0</v>
      </c>
      <c r="G61" s="95">
        <f>SUM('DOE25'!J98:J110)</f>
        <v>11855.76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6661400.2599999998</v>
      </c>
      <c r="D62" s="130">
        <f>SUM(D57:D61)</f>
        <v>574317.12</v>
      </c>
      <c r="E62" s="130">
        <f>SUM(E57:E61)</f>
        <v>1144183.96</v>
      </c>
      <c r="F62" s="130">
        <f>SUM(F57:F61)</f>
        <v>0</v>
      </c>
      <c r="G62" s="130">
        <f>SUM(G57:G61)</f>
        <v>1230182.8400000001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33298718.390000001</v>
      </c>
      <c r="D63" s="22">
        <f>D56+D62</f>
        <v>574317.12</v>
      </c>
      <c r="E63" s="22">
        <f>E56+E62</f>
        <v>1377132.68</v>
      </c>
      <c r="F63" s="22">
        <f>F56+F62</f>
        <v>0</v>
      </c>
      <c r="G63" s="22">
        <f>G56+G62</f>
        <v>1230182.8400000001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11178117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11178117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1863246.73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232948.72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8616.4599999999991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2096195.45</v>
      </c>
      <c r="D78" s="130">
        <f>SUM(D72:D77)</f>
        <v>8616.4599999999991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13274312.449999999</v>
      </c>
      <c r="D81" s="130">
        <f>SUM(D79:D80)+D78+D70</f>
        <v>8616.4599999999991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333645.21000000002</v>
      </c>
      <c r="E88" s="95">
        <f>SUM('DOE25'!H153:H161)</f>
        <v>1910209.6100000003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0</v>
      </c>
      <c r="D91" s="131">
        <f>SUM(D85:D90)</f>
        <v>333645.21000000002</v>
      </c>
      <c r="E91" s="131">
        <f>SUM(E85:E90)</f>
        <v>1910209.6100000003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65241.97</v>
      </c>
      <c r="E96" s="95">
        <f>'DOE25'!H179</f>
        <v>1007791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65241.97</v>
      </c>
      <c r="E103" s="86">
        <f>SUM(E93:E102)</f>
        <v>1007791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46573030.840000004</v>
      </c>
      <c r="D104" s="86">
        <f>D63+D81+D91+D103</f>
        <v>981820.76</v>
      </c>
      <c r="E104" s="86">
        <f>E63+E81+E91+E103</f>
        <v>4295133.29</v>
      </c>
      <c r="F104" s="86">
        <f>F63+F81+F91+F103</f>
        <v>0</v>
      </c>
      <c r="G104" s="86">
        <f>G63+G81+G103</f>
        <v>1230182.8400000001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19416348.730000004</v>
      </c>
      <c r="D109" s="24" t="s">
        <v>286</v>
      </c>
      <c r="E109" s="95">
        <f>('DOE25'!L276)+('DOE25'!L295)+('DOE25'!L314)</f>
        <v>455768.91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6569744.3300000001</v>
      </c>
      <c r="D110" s="24" t="s">
        <v>286</v>
      </c>
      <c r="E110" s="95">
        <f>('DOE25'!L277)+('DOE25'!L296)+('DOE25'!L315)</f>
        <v>2813449.48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1419430.85</v>
      </c>
      <c r="D111" s="24" t="s">
        <v>286</v>
      </c>
      <c r="E111" s="95">
        <f>('DOE25'!L278)+('DOE25'!L297)+('DOE25'!L316)</f>
        <v>65504.67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676497.56</v>
      </c>
      <c r="D112" s="24" t="s">
        <v>286</v>
      </c>
      <c r="E112" s="95">
        <f>+('DOE25'!L279)+('DOE25'!L298)+('DOE25'!L317)</f>
        <v>231530.15999999997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28082021.470000003</v>
      </c>
      <c r="D115" s="86">
        <f>SUM(D109:D114)</f>
        <v>0</v>
      </c>
      <c r="E115" s="86">
        <f>SUM(E109:E114)</f>
        <v>3566253.22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5253052.72</v>
      </c>
      <c r="D118" s="24" t="s">
        <v>286</v>
      </c>
      <c r="E118" s="95">
        <f>+('DOE25'!L281)+('DOE25'!L300)+('DOE25'!L319)</f>
        <v>111283.76999999999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925833.08999999985</v>
      </c>
      <c r="D119" s="24" t="s">
        <v>286</v>
      </c>
      <c r="E119" s="95">
        <f>+('DOE25'!L282)+('DOE25'!L301)+('DOE25'!L320)</f>
        <v>110877.26999999999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1426196.8599999999</v>
      </c>
      <c r="D120" s="24" t="s">
        <v>286</v>
      </c>
      <c r="E120" s="95">
        <f>+('DOE25'!L283)+('DOE25'!L302)+('DOE25'!L321)</f>
        <v>157580.60999999999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2534961.71</v>
      </c>
      <c r="D121" s="24" t="s">
        <v>286</v>
      </c>
      <c r="E121" s="95">
        <f>+('DOE25'!L284)+('DOE25'!L303)+('DOE25'!L322)</f>
        <v>130334.41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755188.71</v>
      </c>
      <c r="D122" s="24" t="s">
        <v>286</v>
      </c>
      <c r="E122" s="95">
        <f>+('DOE25'!L285)+('DOE25'!L304)+('DOE25'!L323)</f>
        <v>1845.78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4545019.1500000004</v>
      </c>
      <c r="D123" s="24" t="s">
        <v>286</v>
      </c>
      <c r="E123" s="95">
        <f>+('DOE25'!L286)+('DOE25'!L305)+('DOE25'!L324)</f>
        <v>163407.67000000001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1073783.74</v>
      </c>
      <c r="D124" s="24" t="s">
        <v>286</v>
      </c>
      <c r="E124" s="95">
        <f>+('DOE25'!L287)+('DOE25'!L306)+('DOE25'!L325)</f>
        <v>14785.75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903940.42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1009986.82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17417976.400000002</v>
      </c>
      <c r="D128" s="86">
        <f>SUM(D118:D127)</f>
        <v>1009986.82</v>
      </c>
      <c r="E128" s="86">
        <f>SUM(E118:E127)</f>
        <v>690115.26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22742.18</v>
      </c>
    </row>
    <row r="135" spans="1:7" x14ac:dyDescent="0.2">
      <c r="A135" t="s">
        <v>233</v>
      </c>
      <c r="B135" s="32" t="s">
        <v>234</v>
      </c>
      <c r="C135" s="95">
        <f>'DOE25'!L263</f>
        <v>65241.97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1007791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1230182.8400000001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-1230182.8400000001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1073032.97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22742.18</v>
      </c>
    </row>
    <row r="145" spans="1:9" ht="12.75" thickTop="1" thickBot="1" x14ac:dyDescent="0.25">
      <c r="A145" s="33" t="s">
        <v>244</v>
      </c>
      <c r="C145" s="86">
        <f>(C115+C128+C144)</f>
        <v>46573030.840000004</v>
      </c>
      <c r="D145" s="86">
        <f>(D115+D128+D144)</f>
        <v>1009986.82</v>
      </c>
      <c r="E145" s="86">
        <f>(E115+E128+E144)</f>
        <v>4256368.4800000004</v>
      </c>
      <c r="F145" s="86">
        <f>(F115+F128+F144)</f>
        <v>0</v>
      </c>
      <c r="G145" s="86">
        <f>(G115+G128+G144)</f>
        <v>22742.18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Portsmouth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18985</v>
      </c>
    </row>
    <row r="5" spans="1:4" x14ac:dyDescent="0.2">
      <c r="B5" t="s">
        <v>698</v>
      </c>
      <c r="C5" s="179">
        <f>IF('DOE25'!G665+'DOE25'!G670=0,0,ROUND('DOE25'!G672,0))</f>
        <v>18200</v>
      </c>
    </row>
    <row r="6" spans="1:4" x14ac:dyDescent="0.2">
      <c r="B6" t="s">
        <v>62</v>
      </c>
      <c r="C6" s="179">
        <f>IF('DOE25'!H665+'DOE25'!H670=0,0,ROUND('DOE25'!H672,0))</f>
        <v>17839</v>
      </c>
    </row>
    <row r="7" spans="1:4" x14ac:dyDescent="0.2">
      <c r="B7" t="s">
        <v>699</v>
      </c>
      <c r="C7" s="179">
        <f>IF('DOE25'!I665+'DOE25'!I670=0,0,ROUND('DOE25'!I672,0))</f>
        <v>18346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19872118</v>
      </c>
      <c r="D10" s="182">
        <f>ROUND((C10/$C$28)*100,1)</f>
        <v>39.6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9383194</v>
      </c>
      <c r="D11" s="182">
        <f>ROUND((C11/$C$28)*100,1)</f>
        <v>18.7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1484936</v>
      </c>
      <c r="D12" s="182">
        <f>ROUND((C12/$C$28)*100,1)</f>
        <v>3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908028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5364336</v>
      </c>
      <c r="D15" s="182">
        <f t="shared" ref="D15:D27" si="0">ROUND((C15/$C$28)*100,1)</f>
        <v>10.7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1036710</v>
      </c>
      <c r="D16" s="182">
        <f t="shared" si="0"/>
        <v>2.1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2487718</v>
      </c>
      <c r="D17" s="182">
        <f t="shared" si="0"/>
        <v>5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2665296</v>
      </c>
      <c r="D18" s="182">
        <f t="shared" si="0"/>
        <v>5.3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757034</v>
      </c>
      <c r="D19" s="182">
        <f t="shared" si="0"/>
        <v>1.5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4708427</v>
      </c>
      <c r="D20" s="182">
        <f t="shared" si="0"/>
        <v>9.4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1088569</v>
      </c>
      <c r="D21" s="182">
        <f t="shared" si="0"/>
        <v>2.2000000000000002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435669.88</v>
      </c>
      <c r="D27" s="182">
        <f t="shared" si="0"/>
        <v>0.9</v>
      </c>
    </row>
    <row r="28" spans="1:4" x14ac:dyDescent="0.2">
      <c r="B28" s="187" t="s">
        <v>717</v>
      </c>
      <c r="C28" s="180">
        <f>SUM(C10:C27)</f>
        <v>50192035.880000003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50192035.880000003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26870267</v>
      </c>
      <c r="D35" s="182">
        <f t="shared" ref="D35:D40" si="1">ROUND((C35/$C$41)*100,1)</f>
        <v>52.2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9035766.9100000039</v>
      </c>
      <c r="D36" s="182">
        <f t="shared" si="1"/>
        <v>17.600000000000001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11178117</v>
      </c>
      <c r="D37" s="182">
        <f t="shared" si="1"/>
        <v>21.7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2104812</v>
      </c>
      <c r="D38" s="182">
        <f t="shared" si="1"/>
        <v>4.0999999999999996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2243855</v>
      </c>
      <c r="D39" s="182">
        <f t="shared" si="1"/>
        <v>4.4000000000000004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51432817.910000004</v>
      </c>
      <c r="D41" s="184">
        <f>SUM(D35:D40)</f>
        <v>100.00000000000001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Portsmouth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2018-06-15T13:33:46Z</cp:lastPrinted>
  <dcterms:created xsi:type="dcterms:W3CDTF">1997-12-04T19:04:30Z</dcterms:created>
  <dcterms:modified xsi:type="dcterms:W3CDTF">2018-12-03T19:53:01Z</dcterms:modified>
</cp:coreProperties>
</file>