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3335" windowHeight="48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" i="1"/>
  <c r="F110" i="1"/>
  <c r="K344" i="1"/>
  <c r="H155" i="1"/>
  <c r="I276" i="1"/>
  <c r="I197" i="1"/>
  <c r="I233" i="1"/>
  <c r="F472" i="1"/>
  <c r="F468" i="1"/>
  <c r="B39" i="12"/>
  <c r="F562" i="1"/>
  <c r="I528" i="1"/>
  <c r="H528" i="1"/>
  <c r="I527" i="1"/>
  <c r="H527" i="1"/>
  <c r="H526" i="1"/>
  <c r="I526" i="1"/>
  <c r="I523" i="1"/>
  <c r="H523" i="1"/>
  <c r="G523" i="1"/>
  <c r="F523" i="1"/>
  <c r="H522" i="1"/>
  <c r="G522" i="1"/>
  <c r="F522" i="1"/>
  <c r="I521" i="1"/>
  <c r="H521" i="1"/>
  <c r="G521" i="1"/>
  <c r="F521" i="1"/>
  <c r="H197" i="1"/>
  <c r="H215" i="1"/>
  <c r="H233" i="1"/>
  <c r="H159" i="1"/>
  <c r="F358" i="1"/>
  <c r="J604" i="1"/>
  <c r="I604" i="1"/>
  <c r="H604" i="1"/>
  <c r="H244" i="1"/>
  <c r="F233" i="1"/>
  <c r="J243" i="1"/>
  <c r="I240" i="1"/>
  <c r="G233" i="1"/>
  <c r="G215" i="1"/>
  <c r="F215" i="1"/>
  <c r="G197" i="1"/>
  <c r="F197" i="1"/>
  <c r="I221" i="1"/>
  <c r="I200" i="1"/>
  <c r="I198" i="1"/>
  <c r="H277" i="1"/>
  <c r="H315" i="1"/>
  <c r="H296" i="1"/>
  <c r="I320" i="1"/>
  <c r="H320" i="1"/>
  <c r="G320" i="1"/>
  <c r="F320" i="1"/>
  <c r="G317" i="1"/>
  <c r="H301" i="1"/>
  <c r="G301" i="1"/>
  <c r="G298" i="1"/>
  <c r="F298" i="1"/>
  <c r="I297" i="1"/>
  <c r="H297" i="1"/>
  <c r="G297" i="1"/>
  <c r="I295" i="1"/>
  <c r="H295" i="1"/>
  <c r="I282" i="1"/>
  <c r="I277" i="1"/>
  <c r="G314" i="1"/>
  <c r="F295" i="1"/>
  <c r="J276" i="1"/>
  <c r="G315" i="1"/>
  <c r="G400" i="1"/>
  <c r="F498" i="1"/>
  <c r="G49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/>
  <c r="F14" i="13"/>
  <c r="G14" i="13"/>
  <c r="L207" i="1"/>
  <c r="L225" i="1"/>
  <c r="C123" i="2"/>
  <c r="L243" i="1"/>
  <c r="F15" i="13"/>
  <c r="G15" i="13"/>
  <c r="L208" i="1"/>
  <c r="L226" i="1"/>
  <c r="G650" i="1"/>
  <c r="L244" i="1"/>
  <c r="F17" i="13"/>
  <c r="G17" i="13"/>
  <c r="L251" i="1"/>
  <c r="C114" i="2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/>
  <c r="L335" i="1"/>
  <c r="L260" i="1"/>
  <c r="C32" i="10"/>
  <c r="L261" i="1"/>
  <c r="C25" i="10"/>
  <c r="L341" i="1"/>
  <c r="E131" i="2"/>
  <c r="L342" i="1"/>
  <c r="L255" i="1"/>
  <c r="C130" i="2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G62" i="2"/>
  <c r="F2" i="11"/>
  <c r="L613" i="1"/>
  <c r="H663" i="1"/>
  <c r="L612" i="1"/>
  <c r="G663" i="1"/>
  <c r="L611" i="1"/>
  <c r="F663" i="1"/>
  <c r="C40" i="10"/>
  <c r="F60" i="1"/>
  <c r="G60" i="1"/>
  <c r="C35" i="10"/>
  <c r="H60" i="1"/>
  <c r="H112" i="1"/>
  <c r="I60" i="1"/>
  <c r="F79" i="1"/>
  <c r="C57" i="2"/>
  <c r="F94" i="1"/>
  <c r="F111" i="1"/>
  <c r="G111" i="1"/>
  <c r="H79" i="1"/>
  <c r="H94" i="1"/>
  <c r="H111" i="1"/>
  <c r="I111" i="1"/>
  <c r="I112" i="1"/>
  <c r="J111" i="1"/>
  <c r="F121" i="1"/>
  <c r="F136" i="1"/>
  <c r="G121" i="1"/>
  <c r="G136" i="1"/>
  <c r="H121" i="1"/>
  <c r="H136" i="1"/>
  <c r="H140" i="1"/>
  <c r="I121" i="1"/>
  <c r="I136" i="1"/>
  <c r="J121" i="1"/>
  <c r="J136" i="1"/>
  <c r="F147" i="1"/>
  <c r="F162" i="1"/>
  <c r="G147" i="1"/>
  <c r="D85" i="2"/>
  <c r="G162" i="1"/>
  <c r="H147" i="1"/>
  <c r="H162" i="1"/>
  <c r="I147" i="1"/>
  <c r="I169" i="1"/>
  <c r="I162" i="1"/>
  <c r="L250" i="1"/>
  <c r="C113" i="2"/>
  <c r="L332" i="1"/>
  <c r="L254" i="1"/>
  <c r="L268" i="1"/>
  <c r="C26" i="10"/>
  <c r="L269" i="1"/>
  <c r="L349" i="1"/>
  <c r="L350" i="1"/>
  <c r="E143" i="2"/>
  <c r="I665" i="1"/>
  <c r="I667" i="1" s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J552" i="1"/>
  <c r="L543" i="1"/>
  <c r="J551" i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F18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E3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E57" i="2"/>
  <c r="C58" i="2"/>
  <c r="E58" i="2"/>
  <c r="E62" i="2"/>
  <c r="E63" i="2"/>
  <c r="C59" i="2"/>
  <c r="D59" i="2"/>
  <c r="E59" i="2"/>
  <c r="F59" i="2"/>
  <c r="D60" i="2"/>
  <c r="C61" i="2"/>
  <c r="D61" i="2"/>
  <c r="D62" i="2"/>
  <c r="D63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E78" i="2"/>
  <c r="E81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3" i="2"/>
  <c r="D115" i="2"/>
  <c r="F115" i="2"/>
  <c r="G115" i="2"/>
  <c r="E122" i="2"/>
  <c r="E124" i="2"/>
  <c r="E125" i="2"/>
  <c r="F128" i="2"/>
  <c r="G128" i="2"/>
  <c r="E130" i="2"/>
  <c r="F130" i="2"/>
  <c r="F144" i="2" s="1"/>
  <c r="F145" i="2" s="1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H617" i="1" s="1"/>
  <c r="J617" i="1" s="1"/>
  <c r="G32" i="1"/>
  <c r="G52" i="1"/>
  <c r="H618" i="1"/>
  <c r="H32" i="1"/>
  <c r="I32" i="1"/>
  <c r="H51" i="1"/>
  <c r="G624" i="1"/>
  <c r="I51" i="1"/>
  <c r="F177" i="1"/>
  <c r="I177" i="1"/>
  <c r="F183" i="1"/>
  <c r="F192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/>
  <c r="F401" i="1"/>
  <c r="G401" i="1"/>
  <c r="H401" i="1"/>
  <c r="I401" i="1"/>
  <c r="F407" i="1"/>
  <c r="G407" i="1"/>
  <c r="H407" i="1"/>
  <c r="I407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F452" i="1"/>
  <c r="G452" i="1"/>
  <c r="H452" i="1"/>
  <c r="H461" i="1"/>
  <c r="H641" i="1"/>
  <c r="I452" i="1"/>
  <c r="F460" i="1"/>
  <c r="F461" i="1"/>
  <c r="H639" i="1"/>
  <c r="G460" i="1"/>
  <c r="G461" i="1"/>
  <c r="H640" i="1"/>
  <c r="H460" i="1"/>
  <c r="I460" i="1"/>
  <c r="I461" i="1"/>
  <c r="H642" i="1"/>
  <c r="F470" i="1"/>
  <c r="G470" i="1"/>
  <c r="G476" i="1"/>
  <c r="H623" i="1"/>
  <c r="J623" i="1"/>
  <c r="H470" i="1"/>
  <c r="I470" i="1"/>
  <c r="J470" i="1"/>
  <c r="F474" i="1"/>
  <c r="F476" i="1" s="1"/>
  <c r="H622" i="1" s="1"/>
  <c r="G474" i="1"/>
  <c r="H474" i="1"/>
  <c r="H476" i="1"/>
  <c r="H624" i="1"/>
  <c r="I474" i="1"/>
  <c r="I476" i="1"/>
  <c r="H625" i="1"/>
  <c r="J625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/>
  <c r="G565" i="1"/>
  <c r="H565" i="1"/>
  <c r="H571" i="1"/>
  <c r="I565" i="1"/>
  <c r="I571" i="1"/>
  <c r="J565" i="1"/>
  <c r="J571" i="1"/>
  <c r="K565" i="1"/>
  <c r="K571" i="1"/>
  <c r="L567" i="1"/>
  <c r="L570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650" i="1" s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G643" i="1"/>
  <c r="G644" i="1"/>
  <c r="G651" i="1"/>
  <c r="G652" i="1"/>
  <c r="H652" i="1"/>
  <c r="G653" i="1"/>
  <c r="H653" i="1"/>
  <c r="G654" i="1"/>
  <c r="H654" i="1"/>
  <c r="H655" i="1"/>
  <c r="J655" i="1"/>
  <c r="L256" i="1"/>
  <c r="D18" i="13"/>
  <c r="C18" i="13"/>
  <c r="D17" i="13"/>
  <c r="C17" i="13"/>
  <c r="F78" i="2"/>
  <c r="F81" i="2"/>
  <c r="D50" i="2"/>
  <c r="E103" i="2"/>
  <c r="D19" i="13"/>
  <c r="C19" i="13"/>
  <c r="L427" i="1"/>
  <c r="F169" i="1"/>
  <c r="J140" i="1"/>
  <c r="G22" i="2"/>
  <c r="L393" i="1"/>
  <c r="C138" i="2"/>
  <c r="H192" i="1"/>
  <c r="G36" i="2"/>
  <c r="A13" i="12"/>
  <c r="A31" i="12"/>
  <c r="A40" i="12"/>
  <c r="H662" i="1"/>
  <c r="E123" i="2"/>
  <c r="E120" i="2"/>
  <c r="E121" i="2"/>
  <c r="E118" i="2"/>
  <c r="C125" i="2"/>
  <c r="G662" i="1"/>
  <c r="L565" i="1"/>
  <c r="L571" i="1"/>
  <c r="H552" i="1"/>
  <c r="I545" i="1"/>
  <c r="G552" i="1"/>
  <c r="K551" i="1"/>
  <c r="K545" i="1"/>
  <c r="J545" i="1"/>
  <c r="G545" i="1"/>
  <c r="L529" i="1"/>
  <c r="F552" i="1"/>
  <c r="C29" i="10"/>
  <c r="F22" i="13"/>
  <c r="C22" i="13"/>
  <c r="L270" i="1"/>
  <c r="C131" i="2"/>
  <c r="F112" i="1"/>
  <c r="K605" i="1"/>
  <c r="G648" i="1"/>
  <c r="J651" i="1"/>
  <c r="K598" i="1"/>
  <c r="G647" i="1" s="1"/>
  <c r="J647" i="1" s="1"/>
  <c r="I552" i="1"/>
  <c r="K550" i="1"/>
  <c r="H545" i="1"/>
  <c r="E16" i="13"/>
  <c r="C16" i="13"/>
  <c r="C21" i="10"/>
  <c r="G649" i="1"/>
  <c r="J649" i="1"/>
  <c r="H647" i="1"/>
  <c r="F662" i="1"/>
  <c r="C20" i="10"/>
  <c r="D14" i="13"/>
  <c r="C14" i="13"/>
  <c r="E13" i="13"/>
  <c r="C13" i="13"/>
  <c r="C18" i="10"/>
  <c r="D12" i="13"/>
  <c r="C12" i="13"/>
  <c r="C124" i="2"/>
  <c r="C122" i="2"/>
  <c r="G81" i="2"/>
  <c r="H169" i="1"/>
  <c r="H193" i="1"/>
  <c r="G629" i="1"/>
  <c r="J629" i="1"/>
  <c r="C19" i="10"/>
  <c r="J624" i="1"/>
  <c r="D91" i="2"/>
  <c r="K549" i="1"/>
  <c r="G645" i="1"/>
  <c r="L534" i="1"/>
  <c r="C91" i="2"/>
  <c r="D81" i="2"/>
  <c r="H25" i="13"/>
  <c r="C25" i="13"/>
  <c r="D15" i="13"/>
  <c r="C15" i="13"/>
  <c r="L351" i="1"/>
  <c r="L539" i="1"/>
  <c r="J640" i="1"/>
  <c r="G408" i="1"/>
  <c r="H645" i="1"/>
  <c r="L382" i="1"/>
  <c r="G636" i="1"/>
  <c r="J636" i="1"/>
  <c r="C142" i="2"/>
  <c r="L544" i="1"/>
  <c r="L524" i="1"/>
  <c r="F408" i="1"/>
  <c r="H643" i="1"/>
  <c r="J643" i="1"/>
  <c r="G192" i="1"/>
  <c r="I52" i="1"/>
  <c r="H620" i="1"/>
  <c r="D31" i="2"/>
  <c r="C120" i="2"/>
  <c r="E8" i="13"/>
  <c r="C8" i="13"/>
  <c r="C17" i="10"/>
  <c r="C119" i="2"/>
  <c r="D7" i="13"/>
  <c r="C7" i="13"/>
  <c r="D6" i="13"/>
  <c r="C6" i="13"/>
  <c r="C15" i="10"/>
  <c r="C118" i="2"/>
  <c r="H257" i="1"/>
  <c r="H271" i="1"/>
  <c r="C110" i="2"/>
  <c r="L247" i="1"/>
  <c r="I257" i="1"/>
  <c r="I271" i="1"/>
  <c r="L229" i="1"/>
  <c r="L211" i="1"/>
  <c r="F257" i="1"/>
  <c r="F271" i="1"/>
  <c r="D5" i="13"/>
  <c r="C5" i="13"/>
  <c r="K257" i="1"/>
  <c r="K271" i="1"/>
  <c r="J257" i="1"/>
  <c r="J271" i="1"/>
  <c r="G257" i="1"/>
  <c r="G271" i="1"/>
  <c r="C109" i="2"/>
  <c r="I369" i="1"/>
  <c r="H634" i="1"/>
  <c r="J634" i="1"/>
  <c r="D29" i="13"/>
  <c r="C29" i="13"/>
  <c r="H661" i="1"/>
  <c r="D127" i="2"/>
  <c r="D128" i="2"/>
  <c r="D145" i="2"/>
  <c r="G661" i="1"/>
  <c r="F661" i="1"/>
  <c r="C13" i="10"/>
  <c r="C12" i="10"/>
  <c r="L328" i="1"/>
  <c r="E110" i="2"/>
  <c r="E112" i="2"/>
  <c r="J338" i="1"/>
  <c r="J352" i="1"/>
  <c r="E111" i="2"/>
  <c r="H338" i="1"/>
  <c r="H352" i="1"/>
  <c r="C11" i="10"/>
  <c r="K338" i="1"/>
  <c r="K352" i="1"/>
  <c r="E109" i="2"/>
  <c r="L309" i="1"/>
  <c r="G338" i="1"/>
  <c r="G352" i="1"/>
  <c r="L290" i="1"/>
  <c r="C10" i="10"/>
  <c r="F338" i="1"/>
  <c r="F352" i="1"/>
  <c r="C16" i="10"/>
  <c r="E119" i="2"/>
  <c r="J476" i="1"/>
  <c r="H626" i="1"/>
  <c r="J641" i="1"/>
  <c r="J639" i="1"/>
  <c r="H408" i="1"/>
  <c r="H644" i="1"/>
  <c r="L401" i="1"/>
  <c r="C139" i="2"/>
  <c r="J644" i="1"/>
  <c r="J645" i="1"/>
  <c r="C78" i="2"/>
  <c r="C62" i="2"/>
  <c r="C63" i="2"/>
  <c r="H52" i="1"/>
  <c r="H619" i="1"/>
  <c r="J619" i="1"/>
  <c r="C18" i="2"/>
  <c r="D18" i="2"/>
  <c r="J112" i="1"/>
  <c r="L362" i="1"/>
  <c r="C27" i="10"/>
  <c r="G156" i="2"/>
  <c r="G112" i="1"/>
  <c r="G164" i="2"/>
  <c r="K503" i="1"/>
  <c r="K500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C51" i="2" s="1"/>
  <c r="F31" i="2"/>
  <c r="C31" i="2"/>
  <c r="E18" i="2"/>
  <c r="E144" i="2"/>
  <c r="F50" i="2"/>
  <c r="F51" i="2"/>
  <c r="C24" i="10"/>
  <c r="G31" i="13"/>
  <c r="G33" i="13"/>
  <c r="I338" i="1"/>
  <c r="I352" i="1"/>
  <c r="L407" i="1"/>
  <c r="C140" i="2"/>
  <c r="I192" i="1"/>
  <c r="E91" i="2"/>
  <c r="E104" i="2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G169" i="1"/>
  <c r="G140" i="1"/>
  <c r="F140" i="1"/>
  <c r="F193" i="1" s="1"/>
  <c r="G627" i="1" s="1"/>
  <c r="C36" i="10"/>
  <c r="G63" i="2"/>
  <c r="J618" i="1"/>
  <c r="G42" i="2"/>
  <c r="J51" i="1"/>
  <c r="G16" i="2"/>
  <c r="G18" i="2"/>
  <c r="J19" i="1"/>
  <c r="G621" i="1"/>
  <c r="F545" i="1"/>
  <c r="H434" i="1"/>
  <c r="J620" i="1"/>
  <c r="D103" i="2"/>
  <c r="D104" i="2"/>
  <c r="I140" i="1"/>
  <c r="I193" i="1"/>
  <c r="G630" i="1"/>
  <c r="J630" i="1"/>
  <c r="A22" i="12"/>
  <c r="G50" i="2"/>
  <c r="J652" i="1"/>
  <c r="J642" i="1"/>
  <c r="G571" i="1"/>
  <c r="I434" i="1"/>
  <c r="G434" i="1"/>
  <c r="I663" i="1"/>
  <c r="E128" i="2"/>
  <c r="I662" i="1"/>
  <c r="F33" i="13"/>
  <c r="C39" i="10"/>
  <c r="K552" i="1"/>
  <c r="H33" i="13"/>
  <c r="L545" i="1"/>
  <c r="E33" i="13"/>
  <c r="D35" i="13"/>
  <c r="C128" i="2"/>
  <c r="H660" i="1"/>
  <c r="H664" i="1"/>
  <c r="H667" i="1"/>
  <c r="C115" i="2"/>
  <c r="L257" i="1"/>
  <c r="L271" i="1"/>
  <c r="G632" i="1"/>
  <c r="J632" i="1"/>
  <c r="G660" i="1"/>
  <c r="G664" i="1"/>
  <c r="G667" i="1"/>
  <c r="F660" i="1"/>
  <c r="F664" i="1"/>
  <c r="F672" i="1"/>
  <c r="C4" i="10"/>
  <c r="H648" i="1"/>
  <c r="J648" i="1"/>
  <c r="G635" i="1"/>
  <c r="J635" i="1"/>
  <c r="I661" i="1"/>
  <c r="E115" i="2"/>
  <c r="L338" i="1"/>
  <c r="L352" i="1"/>
  <c r="G633" i="1"/>
  <c r="J633" i="1"/>
  <c r="C28" i="10"/>
  <c r="D22" i="10"/>
  <c r="C141" i="2"/>
  <c r="C144" i="2"/>
  <c r="G51" i="2"/>
  <c r="L408" i="1"/>
  <c r="D31" i="13"/>
  <c r="C31" i="13"/>
  <c r="G104" i="2"/>
  <c r="G631" i="1"/>
  <c r="J631" i="1"/>
  <c r="G193" i="1"/>
  <c r="G628" i="1"/>
  <c r="J628" i="1"/>
  <c r="G626" i="1"/>
  <c r="J626" i="1"/>
  <c r="J52" i="1"/>
  <c r="H621" i="1"/>
  <c r="J621" i="1"/>
  <c r="C38" i="10"/>
  <c r="E145" i="2"/>
  <c r="C145" i="2"/>
  <c r="I660" i="1"/>
  <c r="I664" i="1"/>
  <c r="H672" i="1"/>
  <c r="C6" i="10" s="1"/>
  <c r="F667" i="1"/>
  <c r="G672" i="1"/>
  <c r="C5" i="10" s="1"/>
  <c r="D10" i="10"/>
  <c r="C30" i="10"/>
  <c r="D16" i="10"/>
  <c r="D19" i="10"/>
  <c r="D24" i="10"/>
  <c r="D26" i="10"/>
  <c r="D15" i="10"/>
  <c r="D11" i="10"/>
  <c r="D27" i="10"/>
  <c r="D17" i="10"/>
  <c r="D23" i="10"/>
  <c r="D20" i="10"/>
  <c r="D25" i="10"/>
  <c r="D13" i="10"/>
  <c r="D21" i="10"/>
  <c r="D18" i="10"/>
  <c r="D12" i="10"/>
  <c r="D33" i="13"/>
  <c r="D36" i="13"/>
  <c r="G637" i="1"/>
  <c r="J637" i="1"/>
  <c r="H646" i="1"/>
  <c r="J646" i="1"/>
  <c r="D28" i="10"/>
  <c r="I672" i="1" l="1"/>
  <c r="C7" i="10" s="1"/>
  <c r="J622" i="1"/>
  <c r="C70" i="2"/>
  <c r="C81" i="2" s="1"/>
  <c r="C104" i="2" s="1"/>
  <c r="J627" i="1"/>
  <c r="H656" i="1"/>
  <c r="C41" i="10"/>
  <c r="D40" i="10" l="1"/>
  <c r="D39" i="10"/>
  <c r="D36" i="10"/>
  <c r="D35" i="10"/>
  <c r="D37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<sst xmlns="http://schemas.openxmlformats.org/spreadsheetml/2006/main" count="3975" uniqueCount="930">
  <si>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</si>
  <si>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</si>
  <si>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</si>
  <si>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</si>
  <si>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</si>
  <si>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</si>
  <si>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</si>
  <si>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</si>
  <si>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</si>
  <si>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</si>
  <si>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</si>
  <si>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</si>
  <si>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</si>
  <si>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</si>
  <si>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</si>
  <si>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</si>
  <si>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</si>
  <si>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</si>
  <si>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</si>
  <si>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</si>
  <si>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</si>
  <si>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</si>
  <si>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</si>
  <si>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</si>
  <si>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</si>
  <si>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</si>
  <si>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</si>
  <si>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</si>
  <si>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</si>
  <si>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</si>
  <si>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</si>
  <si>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</si>
  <si>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</si>
  <si>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</si>
  <si>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</si>
  <si>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</si>
  <si>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</si>
  <si>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</si>
  <si>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</si>
  <si>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</si>
  <si>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</si>
  <si>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</si>
  <si>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</si>
  <si>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</si>
  <si>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</si>
  <si>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</si>
  <si>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</si>
  <si>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</si>
  <si>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</si>
  <si>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</si>
  <si>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</si>
  <si>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</si>
  <si>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</si>
  <si>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</si>
  <si>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</si>
  <si>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</si>
  <si>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</si>
  <si>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</si>
  <si>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</si>
  <si>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</si>
  <si>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</si>
  <si>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</si>
  <si>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</si>
  <si>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</si>
  <si>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</si>
  <si>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</si>
  <si>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</si>
  <si>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</si>
  <si>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</si>
  <si>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</si>
  <si>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</si>
  <si>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</si>
  <si>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</si>
  <si>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</si>
  <si>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</si>
  <si>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</si>
  <si>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</si>
  <si>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</si>
  <si>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</si>
  <si>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</si>
  <si>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</si>
  <si>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</si>
  <si>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</si>
  <si>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</si>
  <si>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</si>
  <si>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</si>
  <si>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</si>
  <si>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</si>
  <si>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</si>
  <si>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</si>
  <si>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</si>
  <si>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</si>
  <si>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</si>
  <si>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</si>
  <si>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</si>
  <si>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</si>
  <si>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</si>
  <si>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</si>
  <si>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</si>
  <si>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</si>
  <si>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</si>
  <si>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</si>
  <si>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</si>
  <si>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</si>
  <si>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</si>
  <si>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</si>
  <si>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</si>
  <si>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</si>
  <si>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</si>
  <si>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</si>
  <si>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</si>
  <si>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</si>
  <si>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</si>
  <si>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</si>
  <si>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</si>
  <si>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</si>
  <si>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</si>
  <si>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</si>
  <si>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</si>
  <si>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</si>
  <si>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</si>
  <si>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</si>
  <si>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</si>
  <si>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</si>
  <si>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</si>
  <si>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</si>
  <si>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</si>
  <si>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</si>
  <si>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</si>
  <si>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</si>
  <si>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</si>
  <si>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</si>
  <si>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</si>
  <si>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</si>
  <si>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</si>
  <si>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</si>
  <si>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</si>
  <si>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</si>
  <si>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</si>
  <si>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</si>
  <si>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</si>
  <si>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</si>
  <si>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</si>
  <si>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</si>
  <si>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</si>
  <si>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</si>
  <si>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</si>
  <si>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</si>
  <si>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</si>
  <si>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</si>
  <si>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</si>
  <si>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</si>
  <si>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</si>
  <si>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</si>
  <si>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</si>
  <si>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</si>
  <si>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</si>
  <si>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</si>
  <si>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</si>
  <si>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</si>
  <si>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</si>
  <si>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</si>
  <si>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</si>
  <si>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</si>
  <si>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</si>
  <si>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</si>
  <si>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</si>
  <si>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</si>
  <si>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</si>
  <si>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</si>
  <si>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</si>
  <si>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</si>
  <si>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</si>
  <si>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</si>
  <si>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</si>
  <si>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</si>
  <si>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</si>
  <si>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</si>
  <si>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</si>
  <si>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</si>
  <si>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</si>
  <si>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</si>
  <si>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</si>
  <si>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</si>
  <si>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</si>
  <si>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</si>
  <si>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</si>
  <si>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</si>
  <si>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</si>
  <si>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</si>
  <si>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</si>
  <si>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</si>
  <si>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</si>
  <si>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</si>
  <si>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</si>
  <si>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</si>
  <si>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</si>
  <si>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</si>
  <si>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</si>
  <si>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</si>
  <si>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</si>
  <si>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</si>
  <si>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</si>
  <si>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</si>
  <si>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</si>
  <si>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</si>
  <si>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</si>
  <si>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</si>
  <si>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</si>
  <si>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</si>
  <si>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</si>
  <si>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</si>
  <si>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</si>
  <si>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</si>
  <si>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</si>
  <si>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</si>
  <si>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</si>
  <si>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</si>
  <si>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</si>
  <si>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</si>
  <si>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</si>
  <si>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</si>
  <si>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</si>
  <si>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</si>
  <si>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</si>
  <si>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</si>
  <si>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</si>
  <si>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</si>
  <si>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</si>
  <si>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</si>
  <si>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</si>
  <si>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</si>
  <si>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</si>
  <si>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</si>
  <si>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</si>
  <si>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</si>
  <si>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</si>
  <si>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</si>
  <si>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</si>
  <si>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</si>
  <si>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</si>
  <si>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</si>
  <si>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</si>
  <si>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</si>
  <si>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</si>
  <si>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</si>
  <si>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</si>
  <si>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</si>
  <si>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</si>
  <si>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</si>
  <si>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</si>
  <si>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</si>
  <si>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</si>
  <si>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</si>
  <si>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</si>
  <si>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</si>
  <si>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</si>
  <si>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</si>
  <si>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</si>
  <si>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</si>
  <si>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</si>
  <si>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</si>
  <si>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</si>
  <si>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</si>
  <si>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</si>
  <si>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</si>
  <si>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</si>
  <si>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</si>
  <si>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</si>
  <si>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</si>
  <si>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</si>
  <si>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</si>
  <si>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</si>
  <si>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</si>
  <si>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</si>
  <si>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</si>
  <si>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</si>
  <si>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</si>
  <si>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</si>
  <si>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</si>
  <si>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</si>
  <si>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</si>
  <si>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</si>
  <si>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</si>
  <si>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</si>
  <si>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</si>
  <si>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</si>
  <si>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</si>
  <si>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</si>
  <si>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</si>
  <si>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</si>
  <si>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</si>
  <si>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</si>
  <si>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</si>
  <si>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</si>
  <si>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</si>
  <si>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</si>
  <si>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</si>
  <si>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</si>
  <si>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</si>
  <si>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</si>
  <si>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</si>
  <si>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</si>
  <si>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</si>
  <si>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</si>
  <si>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</si>
  <si>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</si>
  <si>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</si>
  <si>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</si>
  <si>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</si>
  <si>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</si>
  <si>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</si>
  <si>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</si>
  <si>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</si>
  <si>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</si>
  <si>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</si>
  <si>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</si>
  <si>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</si>
  <si>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</si>
  <si>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</si>
  <si>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</si>
  <si>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</si>
  <si>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</si>
  <si>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</si>
  <si>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</si>
  <si>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</si>
  <si>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</si>
  <si>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</si>
  <si>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</si>
  <si>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</si>
  <si>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</si>
  <si>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</si>
  <si>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</si>
  <si>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</si>
  <si>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</si>
  <si>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</si>
  <si>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</si>
  <si>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</si>
  <si>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</si>
  <si>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</si>
  <si>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</si>
  <si>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</si>
  <si>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</si>
  <si>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</si>
  <si>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</si>
  <si>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</si>
  <si>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</si>
  <si>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</si>
  <si>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</si>
  <si>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</si>
  <si>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</si>
  <si>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</si>
  <si>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</si>
  <si>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</si>
  <si>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</si>
  <si>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</si>
  <si>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</si>
  <si>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</si>
  <si>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</si>
  <si>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</si>
  <si>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</si>
  <si>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</si>
  <si>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</si>
  <si>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</si>
  <si>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</si>
  <si>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</si>
  <si>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</si>
  <si>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</si>
  <si>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</si>
  <si>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</si>
  <si>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</si>
  <si>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</si>
  <si>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</si>
  <si>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</si>
  <si>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</si>
  <si>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</si>
  <si>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</si>
  <si>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</si>
  <si>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</si>
  <si>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</si>
  <si>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</si>
  <si>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</si>
  <si>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</si>
  <si>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</si>
  <si>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</si>
  <si>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</si>
  <si>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</si>
  <si>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</si>
  <si>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</si>
  <si>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</si>
  <si>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</si>
  <si>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</si>
  <si>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</si>
  <si>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</si>
  <si>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</si>
  <si>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</si>
  <si>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</si>
  <si>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</si>
  <si>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</si>
  <si>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</si>
  <si>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</si>
  <si>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</si>
  <si>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</si>
  <si>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</si>
  <si>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</si>
  <si>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</si>
  <si>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</si>
  <si>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</si>
  <si>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</si>
  <si>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</si>
  <si>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</si>
  <si>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</si>
  <si>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</si>
  <si>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</si>
  <si>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</si>
  <si>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</si>
  <si>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</si>
  <si>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</si>
  <si>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</si>
  <si>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</si>
  <si>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</si>
  <si>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</si>
  <si>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</si>
  <si>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</si>
  <si>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</si>
  <si>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</si>
  <si>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</si>
  <si>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</si>
  <si>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</si>
  <si>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</si>
  <si>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</si>
  <si>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</si>
  <si>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</si>
  <si>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</si>
  <si>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</si>
  <si>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</si>
  <si>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</si>
  <si>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</si>
  <si>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</si>
  <si>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</si>
  <si>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</si>
  <si>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</si>
  <si>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</si>
  <si>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</si>
  <si>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</si>
  <si>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</si>
  <si>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</si>
  <si>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</si>
  <si>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</si>
  <si>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</si>
  <si>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</si>
  <si>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</si>
  <si>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</si>
  <si>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</si>
  <si>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</si>
  <si>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</si>
  <si>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</si>
  <si>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</si>
  <si>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</si>
  <si>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</si>
  <si>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</si>
  <si>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</si>
  <si>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</si>
  <si>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</si>
  <si>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</si>
  <si>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</si>
  <si>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</si>
  <si>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</si>
  <si>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</si>
  <si>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</si>
  <si>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</si>
  <si>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</si>
  <si>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</si>
  <si>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</si>
  <si>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</si>
  <si>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</si>
  <si>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</si>
  <si>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</si>
  <si>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</si>
  <si>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</si>
  <si>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</si>
  <si>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</si>
  <si>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</si>
  <si>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</si>
  <si>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</si>
  <si>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</si>
  <si>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</si>
  <si>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</si>
  <si>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</si>
  <si>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</si>
  <si>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</si>
  <si>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</si>
  <si>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</si>
  <si>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</si>
  <si>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</si>
  <si>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</si>
  <si>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</si>
  <si>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</si>
  <si>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</si>
  <si>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</si>
  <si>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</si>
  <si>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</si>
  <si>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</si>
  <si>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</si>
  <si>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</si>
  <si>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</si>
  <si>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</si>
  <si>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</si>
  <si>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</si>
  <si>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</si>
  <si>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</si>
  <si>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</si>
  <si>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</si>
  <si>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</si>
  <si>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</si>
  <si>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</si>
  <si>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</si>
  <si>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</si>
  <si>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</si>
  <si>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</si>
  <si>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</si>
  <si>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</si>
  <si>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</si>
  <si>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</si>
  <si>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</si>
  <si>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</si>
  <si>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</si>
  <si>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</si>
  <si>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</si>
  <si>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</si>
  <si>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</si>
  <si>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</si>
  <si>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</si>
  <si>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</si>
  <si>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</si>
  <si>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</si>
  <si>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</si>
  <si>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</si>
  <si>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</si>
  <si>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</si>
  <si>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</si>
  <si>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</si>
  <si>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</si>
  <si>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</si>
  <si>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</si>
  <si>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</si>
  <si>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</si>
  <si>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</si>
  <si>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</si>
  <si>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</si>
  <si>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</si>
  <si>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</si>
  <si>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</si>
  <si>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</si>
  <si>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</si>
  <si>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</si>
  <si>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</si>
  <si>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</si>
  <si>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</si>
  <si>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</si>
  <si>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</si>
  <si>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</si>
  <si>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</si>
  <si>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</si>
  <si>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</si>
  <si>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</si>
  <si>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</si>
  <si>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</si>
  <si>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</si>
  <si>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</si>
  <si>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</si>
  <si>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</si>
  <si>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</si>
  <si>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</si>
  <si>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</si>
  <si>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</si>
  <si>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</si>
  <si>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</si>
  <si>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</si>
  <si>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</si>
  <si>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</si>
  <si>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</si>
  <si>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</si>
  <si>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</si>
  <si>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</si>
  <si>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</si>
  <si>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</si>
  <si>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</si>
  <si>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</si>
  <si>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</si>
  <si>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</si>
  <si>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</si>
  <si>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</si>
  <si>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</si>
  <si>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</si>
  <si>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</si>
  <si>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</si>
  <si>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</si>
  <si>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</si>
  <si>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</si>
  <si>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</si>
  <si>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</si>
  <si>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</si>
  <si>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</si>
  <si>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</si>
  <si>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</si>
  <si>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</si>
  <si>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</si>
  <si>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</si>
  <si>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</si>
  <si>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</si>
  <si>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</si>
  <si>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</si>
  <si>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</si>
  <si>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</si>
  <si>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</si>
  <si>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</si>
  <si>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</si>
  <si>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</si>
  <si>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</si>
  <si>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</si>
  <si>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</si>
  <si>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</si>
  <si>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</si>
  <si>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</si>
  <si>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</si>
  <si>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</si>
  <si>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</si>
  <si>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</si>
  <si>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</si>
  <si>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</si>
  <si>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</si>
  <si>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</si>
  <si>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</si>
  <si>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</si>
  <si>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</si>
  <si>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</si>
  <si>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</si>
  <si>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</si>
  <si>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</si>
  <si>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</si>
  <si>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</si>
  <si>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</si>
  <si>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</si>
  <si>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</si>
  <si>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</si>
  <si>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</si>
  <si>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</si>
  <si>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</si>
  <si>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</si>
  <si>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</si>
  <si>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</si>
  <si>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</si>
  <si>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</si>
  <si>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</si>
  <si>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</si>
  <si>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</si>
  <si>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</si>
  <si>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</si>
  <si>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</si>
  <si>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</si>
  <si>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</si>
  <si>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</si>
  <si>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</si>
  <si>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</si>
  <si>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</si>
  <si>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</si>
  <si>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</si>
  <si>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</si>
  <si>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</si>
  <si>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</si>
  <si>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</si>
  <si>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</si>
  <si>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</si>
  <si>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</si>
  <si>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</si>
  <si>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</si>
  <si>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</si>
  <si>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</si>
  <si>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</si>
  <si>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</si>
  <si>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</si>
  <si>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</si>
  <si>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</si>
  <si>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</si>
  <si>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</si>
  <si>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</si>
  <si>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</si>
  <si>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</si>
  <si>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</si>
  <si>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</si>
  <si>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</si>
  <si>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</si>
  <si>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</si>
  <si>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</si>
  <si>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</si>
  <si>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</si>
  <si>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</si>
  <si>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</si>
  <si>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</si>
  <si>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</si>
  <si>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</si>
  <si>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</si>
  <si>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</si>
  <si>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</si>
  <si>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</si>
  <si>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</si>
  <si>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</si>
  <si>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</si>
  <si>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</si>
  <si>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</si>
  <si>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</si>
  <si>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</si>
  <si>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</si>
  <si>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</si>
  <si>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</si>
  <si>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</si>
  <si>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</si>
  <si>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</si>
  <si>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</si>
  <si>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</si>
  <si>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</si>
  <si>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</si>
  <si>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</si>
  <si>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</si>
  <si>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</si>
  <si>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</si>
  <si>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</si>
  <si>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</si>
  <si>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</si>
  <si>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</si>
  <si>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</si>
  <si>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</si>
  <si>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</si>
  <si>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</si>
  <si>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</si>
  <si>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</si>
  <si>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</si>
  <si>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</si>
  <si>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</si>
  <si>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</si>
  <si>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</si>
  <si>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</si>
  <si>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</si>
  <si>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</si>
  <si>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</si>
  <si>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</si>
  <si>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</si>
  <si>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</si>
  <si>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</si>
  <si>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</si>
  <si>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</si>
  <si>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</si>
  <si>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</si>
  <si>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</si>
  <si>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</si>
  <si>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</si>
  <si>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</si>
  <si>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</si>
  <si>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</si>
  <si>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</si>
  <si>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</si>
  <si>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</si>
  <si>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</si>
  <si>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</si>
  <si>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</si>
  <si>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</si>
  <si>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</si>
  <si>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</si>
  <si>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</si>
  <si>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</si>
  <si>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</si>
  <si>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</si>
  <si>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</si>
  <si>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</si>
  <si>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</si>
  <si>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</si>
  <si>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</si>
  <si>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</si>
  <si>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</si>
  <si>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</si>
  <si>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</si>
  <si>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</si>
  <si>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</si>
  <si>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</si>
  <si>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</si>
  <si>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</si>
  <si>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</si>
  <si>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</si>
  <si>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</si>
  <si>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</si>
  <si>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</si>
  <si>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</si>
  <si>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</si>
  <si>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</si>
  <si>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</si>
  <si>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</si>
  <si>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</si>
  <si>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</si>
  <si>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</si>
  <si>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</si>
  <si>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</si>
  <si>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</si>
  <si>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</si>
  <si>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</si>
  <si>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</si>
  <si>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</si>
  <si>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</si>
  <si>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</si>
  <si>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</si>
  <si>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</si>
  <si>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</si>
  <si>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</si>
  <si>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</si>
  <si>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</si>
  <si>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</si>
  <si>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</si>
  <si>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</si>
  <si>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</si>
  <si>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</si>
  <si>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</si>
  <si>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</si>
  <si>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</si>
  <si>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</si>
  <si>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</si>
  <si>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</si>
  <si>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</si>
  <si>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</si>
  <si>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</si>
  <si>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</si>
  <si>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</si>
  <si>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</si>
  <si>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</si>
  <si>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</si>
  <si>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</si>
  <si>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</si>
  <si>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</si>
  <si>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</si>
  <si>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</si>
  <si>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</si>
  <si>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</si>
  <si>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</si>
  <si>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</si>
  <si>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</si>
  <si>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</si>
  <si>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</si>
  <si>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</si>
  <si>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</si>
  <si>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</si>
  <si>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</si>
  <si>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</si>
  <si>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</si>
  <si>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</si>
  <si>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</si>
  <si>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</si>
  <si>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</si>
  <si>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</si>
  <si>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</si>
  <si>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</si>
  <si>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</si>
  <si>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</si>
  <si>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</si>
  <si>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</si>
  <si>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</si>
  <si>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</si>
  <si>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</si>
  <si>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</si>
  <si>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</si>
  <si>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</si>
  <si>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</si>
  <si>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</si>
  <si>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</si>
  <si>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</si>
  <si>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</si>
  <si>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</si>
  <si>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</si>
  <si>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</si>
  <si>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</si>
  <si>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</si>
  <si>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</si>
  <si>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</si>
  <si>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</si>
  <si>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</si>
  <si>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</si>
  <si>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</si>
  <si>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</si>
  <si>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</si>
  <si>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</si>
  <si>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</si>
  <si>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</si>
  <si>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</si>
  <si>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</si>
  <si>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</si>
  <si>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</si>
  <si>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</si>
  <si>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</si>
  <si>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</si>
  <si>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</si>
  <si>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</si>
  <si>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</si>
  <si>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</si>
  <si>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</si>
  <si>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</si>
  <si>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</si>
  <si>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</si>
  <si>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</si>
  <si>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</si>
  <si>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</si>
  <si>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</si>
  <si>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</si>
  <si>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</si>
  <si>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</si>
  <si>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Raymond School District</t>
  </si>
  <si>
    <t>8/05</t>
  </si>
  <si>
    <t>8/14</t>
  </si>
  <si>
    <t>8/25</t>
  </si>
  <si>
    <t>8/24</t>
  </si>
  <si>
    <t>Scholarship Funds</t>
  </si>
  <si>
    <t>Column 1: Per Warrant Article #7, the voters approved transferring $50,000 to the  Maintenance CRF from FY16-17  year</t>
  </si>
  <si>
    <t xml:space="preserve">     end undesignated fund blance on 7/1/17.</t>
  </si>
  <si>
    <t>Other Revenue from Local Services - $26,374  - these are Impact Fees received from the Town of Raymond</t>
  </si>
  <si>
    <t>Other Additional Revenues - $99,571.07. This revenue is due to the NH School Care Health Incentives</t>
  </si>
  <si>
    <t>Other State Aid from State Sources - $14,982.03 is Differntiated Charter School Aid</t>
  </si>
  <si>
    <t>Facilities Acquisition &amp; Construction $20,711.92 - these are Engineering costs associated with connecting the RHS water</t>
  </si>
  <si>
    <t xml:space="preserve">     pump line to the Town of Raymond water line.</t>
  </si>
  <si>
    <t>Other Expendable Funds Property of $42,301.62 - this was used from the Textbook CRF to purchase Science &amp; Mathematics</t>
  </si>
  <si>
    <t xml:space="preserve">     Textbooks</t>
  </si>
  <si>
    <t>Other Transportation - $21,762.91 this is for Homeless Transportation.</t>
  </si>
  <si>
    <t>Transfers from All Other Special Revenue Funds - $11,220.41. This is Indirect Costs Revenue Charges to Grants</t>
  </si>
  <si>
    <t>Fund Transfers to General Fund - $11,220.41. This is Indirect Costs Revenue Charges to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</si>
</sst>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6" zoomScaleNormal="96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453</v>
      </c>
      <c r="C2" s="21">
        <v>453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1011898.64</v>
      </c>
      <c r="G9" s="18">
        <v>100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790840.33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175029.15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10449.39</v>
      </c>
      <c r="H13" s="18">
        <v>174979.62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10919.89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1197847.68</v>
      </c>
      <c r="G19" s="41">
        <f>SUM(G9:G18)</f>
        <v>10549.39</v>
      </c>
      <c r="H19" s="41">
        <f>SUM(H9:H18)</f>
        <v>174979.62</v>
      </c>
      <c r="I19" s="41">
        <f>SUM(I9:I18)</f>
        <v>0</v>
      </c>
      <c r="J19" s="41">
        <f>SUM(J9:J18)</f>
        <v>790840.33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748.71</v>
      </c>
      <c r="H22" s="18">
        <v>174280.44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573220.38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87951.12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90723.29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9800.68</v>
      </c>
      <c r="H30" s="18">
        <v>699.18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751894.79</v>
      </c>
      <c r="G32" s="41">
        <f>SUM(G22:G31)</f>
        <v>10549.39</v>
      </c>
      <c r="H32" s="41">
        <f>SUM(H22:H31)</f>
        <v>174979.62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f>175000+20000</f>
        <v>195000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790840.33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60155.87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160797.02-20000</f>
        <v>140797.01999999999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445952.89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790840.33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1197847.6800000002</v>
      </c>
      <c r="G52" s="41">
        <f>G51+G32</f>
        <v>10549.39</v>
      </c>
      <c r="H52" s="41">
        <f>H51+H32</f>
        <v>174979.62</v>
      </c>
      <c r="I52" s="41">
        <f>I51+I32</f>
        <v>0</v>
      </c>
      <c r="J52" s="41">
        <f>J51+J32</f>
        <v>790840.33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13644144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26374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13670518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19254.25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2350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14882.87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26569.7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63056.820000000007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172.91</v>
      </c>
      <c r="G96" s="18"/>
      <c r="H96" s="18"/>
      <c r="I96" s="18"/>
      <c r="J96" s="18">
        <v>12105.6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251210.11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51932.97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1634.76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99571.07-6.34-62.41</f>
        <v>99502.32</v>
      </c>
      <c r="G110" s="18">
        <v>19595.52</v>
      </c>
      <c r="H110" s="18">
        <v>500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153242.96000000002</v>
      </c>
      <c r="G111" s="41">
        <f>SUM(G96:G110)</f>
        <v>270805.63</v>
      </c>
      <c r="H111" s="41">
        <f>SUM(H96:H110)</f>
        <v>500</v>
      </c>
      <c r="I111" s="41">
        <f>SUM(I96:I110)</f>
        <v>0</v>
      </c>
      <c r="J111" s="41">
        <f>SUM(J96:J110)</f>
        <v>12105.6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13886817.780000001</v>
      </c>
      <c r="G112" s="41">
        <f>G60+G111</f>
        <v>270805.63</v>
      </c>
      <c r="H112" s="41">
        <f>H60+H79+H94+H111</f>
        <v>500</v>
      </c>
      <c r="I112" s="41">
        <f>I60+I111</f>
        <v>0</v>
      </c>
      <c r="J112" s="41">
        <f>J60+J111</f>
        <v>12105.6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5280055.13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2017664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30596.65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7328315.7800000003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341485.76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205640.76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18939.2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7379.6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566065.72</v>
      </c>
      <c r="G136" s="41">
        <f>SUM(G123:G135)</f>
        <v>7379.6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7894381.5</v>
      </c>
      <c r="G140" s="41">
        <f>G121+SUM(G136:G137)</f>
        <v>7379.6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242459.09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612511.04+5500.44-322339.23</f>
        <v>295672.25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185718.97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10098.83+322339.23</f>
        <v>332438.06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328548.93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328548.93</v>
      </c>
      <c r="G162" s="41">
        <f>SUM(G150:G161)</f>
        <v>185718.97</v>
      </c>
      <c r="H162" s="41">
        <f>SUM(H150:H161)</f>
        <v>870569.39999999991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328548.93</v>
      </c>
      <c r="G169" s="41">
        <f>G147+G162+SUM(G163:G168)</f>
        <v>185718.97</v>
      </c>
      <c r="H169" s="41">
        <f>H147+H162+SUM(H163:H168)</f>
        <v>870569.39999999991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66633.08</v>
      </c>
      <c r="H179" s="18"/>
      <c r="I179" s="18"/>
      <c r="J179" s="18">
        <v>264000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11220.41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11220.41</v>
      </c>
      <c r="G183" s="41">
        <f>SUM(G179:G182)</f>
        <v>66633.08</v>
      </c>
      <c r="H183" s="41">
        <f>SUM(H179:H182)</f>
        <v>0</v>
      </c>
      <c r="I183" s="41">
        <f>SUM(I179:I182)</f>
        <v>0</v>
      </c>
      <c r="J183" s="41">
        <f>SUM(J179:J182)</f>
        <v>264000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11220.41</v>
      </c>
      <c r="G192" s="41">
        <f>G183+SUM(G188:G191)</f>
        <v>66633.08</v>
      </c>
      <c r="H192" s="41">
        <f>+H183+SUM(H188:H191)</f>
        <v>0</v>
      </c>
      <c r="I192" s="41">
        <f>I177+I183+SUM(I188:I191)</f>
        <v>0</v>
      </c>
      <c r="J192" s="41">
        <f>J183</f>
        <v>264000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22120968.620000001</v>
      </c>
      <c r="G193" s="47">
        <f>G112+G140+G169+G192</f>
        <v>530537.27999999991</v>
      </c>
      <c r="H193" s="47">
        <f>H112+H140+H169+H192</f>
        <v>871069.39999999991</v>
      </c>
      <c r="I193" s="47">
        <f>I112+I140+I169+I192</f>
        <v>0</v>
      </c>
      <c r="J193" s="47">
        <f>J112+J140+J192</f>
        <v>276105.59999999998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1789803.52+59467.48</f>
        <v>1849271</v>
      </c>
      <c r="G197" s="18">
        <f>791738.71+84722.91</f>
        <v>876461.62</v>
      </c>
      <c r="H197" s="18">
        <f>43764.52+16783.95-16783.95</f>
        <v>43764.520000000004</v>
      </c>
      <c r="I197" s="18">
        <f>70241.59+556.15</f>
        <v>70797.739999999991</v>
      </c>
      <c r="J197" s="18">
        <v>6928.2</v>
      </c>
      <c r="K197" s="18">
        <v>0</v>
      </c>
      <c r="L197" s="19">
        <f>SUM(F197:K197)</f>
        <v>2847223.08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790127.67</v>
      </c>
      <c r="G198" s="18">
        <v>655331.13</v>
      </c>
      <c r="H198" s="18">
        <v>550382.06999999995</v>
      </c>
      <c r="I198" s="18">
        <f>4316.58-0.05</f>
        <v>4316.53</v>
      </c>
      <c r="J198" s="18">
        <v>1317.58</v>
      </c>
      <c r="K198" s="18">
        <v>7580.49</v>
      </c>
      <c r="L198" s="19">
        <f>SUM(F198:K198)</f>
        <v>2009055.4700000002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4606.5</v>
      </c>
      <c r="G200" s="18">
        <v>792.64</v>
      </c>
      <c r="H200" s="18">
        <v>17942.79</v>
      </c>
      <c r="I200" s="18">
        <f>4512.18+0.48</f>
        <v>4512.66</v>
      </c>
      <c r="J200" s="18">
        <v>178.6</v>
      </c>
      <c r="K200" s="18">
        <v>0</v>
      </c>
      <c r="L200" s="19">
        <f>SUM(F200:K200)</f>
        <v>28033.19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235006.54</v>
      </c>
      <c r="G202" s="18">
        <v>119257.19</v>
      </c>
      <c r="H202" s="18">
        <v>25429.58</v>
      </c>
      <c r="I202" s="18">
        <v>4754.8599999999997</v>
      </c>
      <c r="J202" s="18">
        <v>0</v>
      </c>
      <c r="K202" s="18">
        <v>0</v>
      </c>
      <c r="L202" s="19">
        <f t="shared" ref="L202:L208" si="0">SUM(F202:K202)</f>
        <v>384448.17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110984.23</v>
      </c>
      <c r="G203" s="18">
        <v>58941.5</v>
      </c>
      <c r="H203" s="18">
        <v>16265.47</v>
      </c>
      <c r="I203" s="18">
        <v>37684.959999999999</v>
      </c>
      <c r="J203" s="18">
        <v>25918.7</v>
      </c>
      <c r="K203" s="18">
        <v>0</v>
      </c>
      <c r="L203" s="19">
        <f t="shared" si="0"/>
        <v>249794.86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161718.54999999999</v>
      </c>
      <c r="G204" s="18">
        <v>75307.09</v>
      </c>
      <c r="H204" s="18">
        <v>45722.57</v>
      </c>
      <c r="I204" s="18">
        <v>5683.71</v>
      </c>
      <c r="J204" s="18">
        <v>0</v>
      </c>
      <c r="K204" s="18">
        <v>8224.7199999999993</v>
      </c>
      <c r="L204" s="19">
        <f t="shared" si="0"/>
        <v>296656.63999999996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258275.22</v>
      </c>
      <c r="G205" s="18">
        <v>176294.52</v>
      </c>
      <c r="H205" s="18">
        <v>30355.47</v>
      </c>
      <c r="I205" s="18">
        <v>1200</v>
      </c>
      <c r="J205" s="18">
        <v>0</v>
      </c>
      <c r="K205" s="18">
        <v>1206</v>
      </c>
      <c r="L205" s="19">
        <f t="shared" si="0"/>
        <v>467331.20999999996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60776.68</v>
      </c>
      <c r="G206" s="18">
        <v>22444.26</v>
      </c>
      <c r="H206" s="18">
        <v>1777.21</v>
      </c>
      <c r="I206" s="18">
        <v>0</v>
      </c>
      <c r="J206" s="18">
        <v>0</v>
      </c>
      <c r="K206" s="18">
        <v>748.8</v>
      </c>
      <c r="L206" s="19">
        <f t="shared" si="0"/>
        <v>85746.950000000012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193557.89</v>
      </c>
      <c r="G207" s="18">
        <v>122826.68</v>
      </c>
      <c r="H207" s="18">
        <v>156617.71</v>
      </c>
      <c r="I207" s="18">
        <v>131287.66</v>
      </c>
      <c r="J207" s="18">
        <v>3048.05</v>
      </c>
      <c r="K207" s="18">
        <v>0</v>
      </c>
      <c r="L207" s="19">
        <f t="shared" si="0"/>
        <v>607337.99000000011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348839.17</v>
      </c>
      <c r="I208" s="18">
        <v>0</v>
      </c>
      <c r="J208" s="18">
        <v>0</v>
      </c>
      <c r="K208" s="18">
        <v>0</v>
      </c>
      <c r="L208" s="19">
        <f t="shared" si="0"/>
        <v>348839.17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822.02</v>
      </c>
      <c r="I209" s="18">
        <v>0</v>
      </c>
      <c r="J209" s="18">
        <v>0</v>
      </c>
      <c r="K209" s="18">
        <v>0</v>
      </c>
      <c r="L209" s="19">
        <f>SUM(F209:K209)</f>
        <v>822.02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3664324.2800000003</v>
      </c>
      <c r="G211" s="41">
        <f t="shared" si="1"/>
        <v>2107656.63</v>
      </c>
      <c r="H211" s="41">
        <f t="shared" si="1"/>
        <v>1237918.5799999998</v>
      </c>
      <c r="I211" s="41">
        <f t="shared" si="1"/>
        <v>260238.12</v>
      </c>
      <c r="J211" s="41">
        <f t="shared" si="1"/>
        <v>37391.130000000005</v>
      </c>
      <c r="K211" s="41">
        <f t="shared" si="1"/>
        <v>17760.009999999998</v>
      </c>
      <c r="L211" s="41">
        <f t="shared" si="1"/>
        <v>7325288.7500000009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1680021.89+50077.88</f>
        <v>1730099.7699999998</v>
      </c>
      <c r="G215" s="18">
        <f>816468.13+71345.6</f>
        <v>887813.73</v>
      </c>
      <c r="H215" s="18">
        <f>2771.7+14133.85-14133.85</f>
        <v>2771.6999999999989</v>
      </c>
      <c r="I215" s="18">
        <v>45618.85</v>
      </c>
      <c r="J215" s="18">
        <v>8236.48</v>
      </c>
      <c r="K215" s="18">
        <v>0</v>
      </c>
      <c r="L215" s="19">
        <f>SUM(F215:K215)</f>
        <v>2674540.5300000003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547479.46</v>
      </c>
      <c r="G216" s="18">
        <v>424021.48</v>
      </c>
      <c r="H216" s="18">
        <v>470753.5</v>
      </c>
      <c r="I216" s="18">
        <v>2234.3200000000002</v>
      </c>
      <c r="J216" s="18">
        <v>822</v>
      </c>
      <c r="K216" s="18">
        <v>6383.57</v>
      </c>
      <c r="L216" s="19">
        <f>SUM(F216:K216)</f>
        <v>1451694.33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40702.519999999997</v>
      </c>
      <c r="G218" s="18">
        <v>6228.4</v>
      </c>
      <c r="H218" s="18">
        <v>20784.22</v>
      </c>
      <c r="I218" s="18">
        <v>4928.5600000000004</v>
      </c>
      <c r="J218" s="18">
        <v>150.4</v>
      </c>
      <c r="K218" s="18">
        <v>0</v>
      </c>
      <c r="L218" s="19">
        <f>SUM(F218:K218)</f>
        <v>72794.099999999991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216068.09</v>
      </c>
      <c r="G220" s="18">
        <v>131331.45000000001</v>
      </c>
      <c r="H220" s="18">
        <v>21385.33</v>
      </c>
      <c r="I220" s="18">
        <v>5048.62</v>
      </c>
      <c r="J220" s="18">
        <v>0</v>
      </c>
      <c r="K220" s="18">
        <v>0</v>
      </c>
      <c r="L220" s="19">
        <f t="shared" ref="L220:L226" si="2">SUM(F220:K220)</f>
        <v>373833.49000000005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97019.77</v>
      </c>
      <c r="G221" s="18">
        <v>51980.639999999999</v>
      </c>
      <c r="H221" s="18">
        <v>14676.76</v>
      </c>
      <c r="I221" s="18">
        <f>26190.59-0.01</f>
        <v>26190.58</v>
      </c>
      <c r="J221" s="18">
        <v>30405.02</v>
      </c>
      <c r="K221" s="18">
        <v>0</v>
      </c>
      <c r="L221" s="19">
        <f t="shared" si="2"/>
        <v>220272.77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136184.04</v>
      </c>
      <c r="G222" s="18">
        <v>63416.49</v>
      </c>
      <c r="H222" s="18">
        <v>38503.22</v>
      </c>
      <c r="I222" s="18">
        <v>4786.28</v>
      </c>
      <c r="J222" s="18">
        <v>0</v>
      </c>
      <c r="K222" s="18">
        <v>6926.08</v>
      </c>
      <c r="L222" s="19">
        <f t="shared" si="2"/>
        <v>249816.11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269402.15999999997</v>
      </c>
      <c r="G223" s="18">
        <v>157082.46</v>
      </c>
      <c r="H223" s="18">
        <v>32775.279999999999</v>
      </c>
      <c r="I223" s="18">
        <v>2129.5</v>
      </c>
      <c r="J223" s="18">
        <v>0</v>
      </c>
      <c r="K223" s="18">
        <v>1090</v>
      </c>
      <c r="L223" s="19">
        <f t="shared" si="2"/>
        <v>462479.4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51180.36</v>
      </c>
      <c r="G224" s="18">
        <v>18900.43</v>
      </c>
      <c r="H224" s="18">
        <v>1496.6</v>
      </c>
      <c r="I224" s="18">
        <v>0</v>
      </c>
      <c r="J224" s="18">
        <v>0</v>
      </c>
      <c r="K224" s="18">
        <v>630.57000000000005</v>
      </c>
      <c r="L224" s="19">
        <f t="shared" si="2"/>
        <v>72207.960000000021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217156.75</v>
      </c>
      <c r="G225" s="18">
        <v>139007.31</v>
      </c>
      <c r="H225" s="18">
        <v>107700.29</v>
      </c>
      <c r="I225" s="18">
        <v>173583.88</v>
      </c>
      <c r="J225" s="18">
        <v>2566.7800000000002</v>
      </c>
      <c r="K225" s="18">
        <v>0</v>
      </c>
      <c r="L225" s="19">
        <f t="shared" si="2"/>
        <v>640015.01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300419.77</v>
      </c>
      <c r="I226" s="18">
        <v>0</v>
      </c>
      <c r="J226" s="18">
        <v>0</v>
      </c>
      <c r="K226" s="18">
        <v>0</v>
      </c>
      <c r="L226" s="19">
        <f t="shared" si="2"/>
        <v>300419.77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692.22</v>
      </c>
      <c r="I227" s="18">
        <v>0</v>
      </c>
      <c r="J227" s="18">
        <v>0</v>
      </c>
      <c r="K227" s="18">
        <v>0</v>
      </c>
      <c r="L227" s="19">
        <f>SUM(F227:K227)</f>
        <v>692.22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3305292.9199999995</v>
      </c>
      <c r="G229" s="41">
        <f>SUM(G215:G228)</f>
        <v>1879782.3899999997</v>
      </c>
      <c r="H229" s="41">
        <f>SUM(H215:H228)</f>
        <v>1011958.89</v>
      </c>
      <c r="I229" s="41">
        <f>SUM(I215:I228)</f>
        <v>264520.58999999997</v>
      </c>
      <c r="J229" s="41">
        <f>SUM(J215:J228)</f>
        <v>42180.68</v>
      </c>
      <c r="K229" s="41">
        <f t="shared" si="3"/>
        <v>15030.22</v>
      </c>
      <c r="L229" s="41">
        <f t="shared" si="3"/>
        <v>6518765.6900000004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1716837.4+46948.01</f>
        <v>1763785.41</v>
      </c>
      <c r="G233" s="18">
        <f>816793.16+66886.51</f>
        <v>883679.67</v>
      </c>
      <c r="H233" s="18">
        <f>28139.96+13250.49-13250.49</f>
        <v>28139.96</v>
      </c>
      <c r="I233" s="18">
        <f>68434.59</f>
        <v>68434.59</v>
      </c>
      <c r="J233" s="18">
        <v>50294.239999999998</v>
      </c>
      <c r="K233" s="18">
        <v>381</v>
      </c>
      <c r="L233" s="19">
        <f>SUM(F233:K233)</f>
        <v>2794714.87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532081.05000000005</v>
      </c>
      <c r="G234" s="18">
        <v>438447.28</v>
      </c>
      <c r="H234" s="18">
        <v>894826.01</v>
      </c>
      <c r="I234" s="18">
        <v>3285.13</v>
      </c>
      <c r="J234" s="18">
        <v>757.17</v>
      </c>
      <c r="K234" s="18">
        <v>5984.6</v>
      </c>
      <c r="L234" s="19">
        <f>SUM(F234:K234)</f>
        <v>1875381.24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129483</v>
      </c>
      <c r="I235" s="18">
        <v>0</v>
      </c>
      <c r="J235" s="18">
        <v>0</v>
      </c>
      <c r="K235" s="18">
        <v>0</v>
      </c>
      <c r="L235" s="19">
        <f>SUM(F235:K235)</f>
        <v>129483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118137.17</v>
      </c>
      <c r="G236" s="18">
        <v>21629.05</v>
      </c>
      <c r="H236" s="18">
        <v>49142.36</v>
      </c>
      <c r="I236" s="18">
        <v>12589.98</v>
      </c>
      <c r="J236" s="18">
        <v>7892.28</v>
      </c>
      <c r="K236" s="18">
        <v>6835</v>
      </c>
      <c r="L236" s="19">
        <f>SUM(F236:K236)</f>
        <v>216225.84000000003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281397.73</v>
      </c>
      <c r="G238" s="18">
        <v>160336.92000000001</v>
      </c>
      <c r="H238" s="18">
        <v>23480.75</v>
      </c>
      <c r="I238" s="18">
        <v>9559.89</v>
      </c>
      <c r="J238" s="18">
        <v>508.52</v>
      </c>
      <c r="K238" s="18">
        <v>150</v>
      </c>
      <c r="L238" s="19">
        <f t="shared" ref="L238:L244" si="4">SUM(F238:K238)</f>
        <v>475433.81000000006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106016.28</v>
      </c>
      <c r="G239" s="18">
        <v>53074.400000000001</v>
      </c>
      <c r="H239" s="18">
        <v>16388.89</v>
      </c>
      <c r="I239" s="18">
        <v>32265.97</v>
      </c>
      <c r="J239" s="18">
        <v>27217.74</v>
      </c>
      <c r="K239" s="18">
        <v>0</v>
      </c>
      <c r="L239" s="19">
        <f t="shared" si="4"/>
        <v>234963.28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127672.54</v>
      </c>
      <c r="G240" s="18">
        <v>59452.959999999999</v>
      </c>
      <c r="H240" s="18">
        <v>36096.769999999997</v>
      </c>
      <c r="I240" s="18">
        <f>4487.14+0.02</f>
        <v>4487.1600000000008</v>
      </c>
      <c r="J240" s="18">
        <v>0</v>
      </c>
      <c r="K240" s="18">
        <v>6493.2</v>
      </c>
      <c r="L240" s="19">
        <f t="shared" si="4"/>
        <v>234202.63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259967.89</v>
      </c>
      <c r="G241" s="18">
        <v>126777.56</v>
      </c>
      <c r="H241" s="18">
        <v>41541.410000000003</v>
      </c>
      <c r="I241" s="18">
        <v>15146.75</v>
      </c>
      <c r="J241" s="18">
        <v>0</v>
      </c>
      <c r="K241" s="18">
        <v>8695</v>
      </c>
      <c r="L241" s="19">
        <f t="shared" si="4"/>
        <v>452128.61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47981.59</v>
      </c>
      <c r="G242" s="18">
        <v>17719.150000000001</v>
      </c>
      <c r="H242" s="18">
        <v>1403.06</v>
      </c>
      <c r="I242" s="18">
        <v>0</v>
      </c>
      <c r="J242" s="18">
        <v>0</v>
      </c>
      <c r="K242" s="18">
        <v>591.16</v>
      </c>
      <c r="L242" s="19">
        <f t="shared" si="4"/>
        <v>67694.959999999992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199424.38</v>
      </c>
      <c r="G243" s="18">
        <v>110112.86</v>
      </c>
      <c r="H243" s="18">
        <v>117458.22</v>
      </c>
      <c r="I243" s="18">
        <v>129484.52</v>
      </c>
      <c r="J243" s="18">
        <f>2406.35-0.1+0.09</f>
        <v>2406.34</v>
      </c>
      <c r="K243" s="18">
        <v>0</v>
      </c>
      <c r="L243" s="19">
        <f t="shared" si="4"/>
        <v>558886.31999999995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f>310112.43+0.01</f>
        <v>310112.44</v>
      </c>
      <c r="I244" s="18">
        <v>0</v>
      </c>
      <c r="J244" s="18">
        <v>0</v>
      </c>
      <c r="K244" s="18">
        <v>0</v>
      </c>
      <c r="L244" s="19">
        <f t="shared" si="4"/>
        <v>310112.44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648.96</v>
      </c>
      <c r="I245" s="18">
        <v>0</v>
      </c>
      <c r="J245" s="18">
        <v>0</v>
      </c>
      <c r="K245" s="18">
        <v>0</v>
      </c>
      <c r="L245" s="19">
        <f>SUM(F245:K245)</f>
        <v>648.96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3436464.0399999996</v>
      </c>
      <c r="G247" s="41">
        <f t="shared" si="5"/>
        <v>1871229.85</v>
      </c>
      <c r="H247" s="41">
        <f t="shared" si="5"/>
        <v>1648721.8299999998</v>
      </c>
      <c r="I247" s="41">
        <f t="shared" si="5"/>
        <v>275253.99</v>
      </c>
      <c r="J247" s="41">
        <f t="shared" si="5"/>
        <v>89076.29</v>
      </c>
      <c r="K247" s="41">
        <f t="shared" si="5"/>
        <v>29129.96</v>
      </c>
      <c r="L247" s="41">
        <f t="shared" si="5"/>
        <v>7349875.9600000009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>
        <v>19802.45</v>
      </c>
      <c r="J253" s="18"/>
      <c r="K253" s="18"/>
      <c r="L253" s="19">
        <f t="shared" si="6"/>
        <v>19802.45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20711.919999999998</v>
      </c>
      <c r="I255" s="18"/>
      <c r="J255" s="18"/>
      <c r="K255" s="18"/>
      <c r="L255" s="19">
        <f t="shared" si="6"/>
        <v>20711.919999999998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20711.919999999998</v>
      </c>
      <c r="I256" s="41">
        <f t="shared" si="7"/>
        <v>19802.45</v>
      </c>
      <c r="J256" s="41">
        <f t="shared" si="7"/>
        <v>0</v>
      </c>
      <c r="K256" s="41">
        <f t="shared" si="7"/>
        <v>0</v>
      </c>
      <c r="L256" s="41">
        <f>SUM(F256:K256)</f>
        <v>40514.369999999995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10406081.239999998</v>
      </c>
      <c r="G257" s="41">
        <f t="shared" si="8"/>
        <v>5858668.8699999992</v>
      </c>
      <c r="H257" s="41">
        <f t="shared" si="8"/>
        <v>3919311.2199999997</v>
      </c>
      <c r="I257" s="41">
        <f t="shared" si="8"/>
        <v>819815.14999999991</v>
      </c>
      <c r="J257" s="41">
        <f t="shared" si="8"/>
        <v>168648.09999999998</v>
      </c>
      <c r="K257" s="41">
        <f t="shared" si="8"/>
        <v>61920.189999999995</v>
      </c>
      <c r="L257" s="41">
        <f t="shared" si="8"/>
        <v>21234444.770000003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697893.43</v>
      </c>
      <c r="L260" s="19">
        <f>SUM(F260:K260)</f>
        <v>697893.43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450757.07</v>
      </c>
      <c r="L261" s="19">
        <f>SUM(F261:K261)</f>
        <v>450757.07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66633.08</v>
      </c>
      <c r="L263" s="19">
        <f>SUM(F263:K263)</f>
        <v>66633.08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264000</v>
      </c>
      <c r="L266" s="19">
        <f t="shared" si="9"/>
        <v>264000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1479283.58</v>
      </c>
      <c r="L270" s="41">
        <f t="shared" si="9"/>
        <v>1479283.58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10406081.239999998</v>
      </c>
      <c r="G271" s="42">
        <f t="shared" si="11"/>
        <v>5858668.8699999992</v>
      </c>
      <c r="H271" s="42">
        <f t="shared" si="11"/>
        <v>3919311.2199999997</v>
      </c>
      <c r="I271" s="42">
        <f t="shared" si="11"/>
        <v>819815.14999999991</v>
      </c>
      <c r="J271" s="42">
        <f t="shared" si="11"/>
        <v>168648.09999999998</v>
      </c>
      <c r="K271" s="42">
        <f t="shared" si="11"/>
        <v>1541203.77</v>
      </c>
      <c r="L271" s="42">
        <f t="shared" si="11"/>
        <v>22713728.350000001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124248.5</v>
      </c>
      <c r="G276" s="18">
        <v>31319.13</v>
      </c>
      <c r="H276" s="18">
        <v>2430</v>
      </c>
      <c r="I276" s="18">
        <f>642.18+3030.2+222.82+48+2798.38</f>
        <v>6741.58</v>
      </c>
      <c r="J276" s="18">
        <f>12090+1080+1650</f>
        <v>14820</v>
      </c>
      <c r="K276" s="18">
        <v>0</v>
      </c>
      <c r="L276" s="19">
        <f>SUM(F276:K276)</f>
        <v>179559.21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34470</v>
      </c>
      <c r="G277" s="18">
        <v>8002.34</v>
      </c>
      <c r="H277" s="18">
        <f>54606.1+28576.76-0.05</f>
        <v>83182.81</v>
      </c>
      <c r="I277" s="18">
        <f>1561.8</f>
        <v>1561.8</v>
      </c>
      <c r="J277" s="18">
        <v>0</v>
      </c>
      <c r="K277" s="18">
        <v>0</v>
      </c>
      <c r="L277" s="19">
        <f>SUM(F277:K277)</f>
        <v>127216.95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67356.47</v>
      </c>
      <c r="G279" s="18">
        <v>28725.18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96081.65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73396</v>
      </c>
      <c r="G282" s="18">
        <v>829.87</v>
      </c>
      <c r="H282" s="18">
        <v>28470.86</v>
      </c>
      <c r="I282" s="18">
        <f>702.9+1018.4</f>
        <v>1721.3</v>
      </c>
      <c r="J282" s="18">
        <v>0</v>
      </c>
      <c r="K282" s="18">
        <v>0</v>
      </c>
      <c r="L282" s="19">
        <f t="shared" si="12"/>
        <v>104418.03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299470.96999999997</v>
      </c>
      <c r="G290" s="42">
        <f t="shared" si="13"/>
        <v>68876.51999999999</v>
      </c>
      <c r="H290" s="42">
        <f t="shared" si="13"/>
        <v>114083.67</v>
      </c>
      <c r="I290" s="42">
        <f t="shared" si="13"/>
        <v>10024.679999999998</v>
      </c>
      <c r="J290" s="42">
        <f t="shared" si="13"/>
        <v>14820</v>
      </c>
      <c r="K290" s="42">
        <f t="shared" si="13"/>
        <v>0</v>
      </c>
      <c r="L290" s="41">
        <f t="shared" si="13"/>
        <v>507275.83999999997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42907.5+1900</f>
        <v>44807.5</v>
      </c>
      <c r="G295" s="18">
        <v>3758.09</v>
      </c>
      <c r="H295" s="18">
        <f>320+1600</f>
        <v>1920</v>
      </c>
      <c r="I295" s="18">
        <f>625.51+1120.48+369+78.32+2356.53</f>
        <v>4549.84</v>
      </c>
      <c r="J295" s="18">
        <v>12090</v>
      </c>
      <c r="K295" s="18">
        <v>0</v>
      </c>
      <c r="L295" s="19">
        <f>SUM(F295:K295)</f>
        <v>67125.429999999993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f>8891.82+24064.64</f>
        <v>32956.46</v>
      </c>
      <c r="I296" s="18">
        <v>1315.2</v>
      </c>
      <c r="J296" s="18">
        <v>0</v>
      </c>
      <c r="K296" s="18">
        <v>0</v>
      </c>
      <c r="L296" s="19">
        <f>SUM(F296:K296)</f>
        <v>34271.659999999996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8185.51</v>
      </c>
      <c r="G297" s="18">
        <f>1910.4+166.8+28.8+27.04+618.5+931.52</f>
        <v>3683.0600000000004</v>
      </c>
      <c r="H297" s="18">
        <f>1320+22.5+1487.6</f>
        <v>2830.1</v>
      </c>
      <c r="I297" s="18">
        <f>4190.91+2572.79</f>
        <v>6763.7</v>
      </c>
      <c r="J297" s="18">
        <v>465.01</v>
      </c>
      <c r="K297" s="18">
        <v>0</v>
      </c>
      <c r="L297" s="19">
        <f>SUM(F297:K297)</f>
        <v>21927.379999999997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12780.6+8820+3637.5+13942.08</f>
        <v>39180.18</v>
      </c>
      <c r="G298" s="18">
        <f>1930.74+631.47+2445.29+213.44+39.36+36.8+1044.81+2420.37</f>
        <v>8762.2799999999988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47942.46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2944</v>
      </c>
      <c r="G301" s="18">
        <f>225.26+473.58</f>
        <v>698.83999999999992</v>
      </c>
      <c r="H301" s="18">
        <f>28000+4000+672+1376+276.93</f>
        <v>34324.93</v>
      </c>
      <c r="I301" s="18">
        <v>857.6</v>
      </c>
      <c r="J301" s="18">
        <v>0</v>
      </c>
      <c r="K301" s="18">
        <v>0</v>
      </c>
      <c r="L301" s="19">
        <f t="shared" si="14"/>
        <v>38825.370000000003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95117.19</v>
      </c>
      <c r="G309" s="42">
        <f t="shared" si="15"/>
        <v>16902.27</v>
      </c>
      <c r="H309" s="42">
        <f t="shared" si="15"/>
        <v>72031.489999999991</v>
      </c>
      <c r="I309" s="42">
        <f t="shared" si="15"/>
        <v>13486.34</v>
      </c>
      <c r="J309" s="42">
        <f t="shared" si="15"/>
        <v>12555.01</v>
      </c>
      <c r="K309" s="42">
        <f t="shared" si="15"/>
        <v>0</v>
      </c>
      <c r="L309" s="41">
        <f t="shared" si="15"/>
        <v>210092.3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200</v>
      </c>
      <c r="G314" s="18">
        <f>15.3+34.72</f>
        <v>50.019999999999996</v>
      </c>
      <c r="H314" s="18">
        <v>1800</v>
      </c>
      <c r="I314" s="18">
        <v>2709.25</v>
      </c>
      <c r="J314" s="18">
        <v>0</v>
      </c>
      <c r="K314" s="18">
        <v>0</v>
      </c>
      <c r="L314" s="19">
        <f>SUM(F314:K314)</f>
        <v>4759.2700000000004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41041</v>
      </c>
      <c r="G315" s="18">
        <f>3097.38+7124.51</f>
        <v>10221.89</v>
      </c>
      <c r="H315" s="18">
        <f>8336.08+22560.6</f>
        <v>30896.68</v>
      </c>
      <c r="I315" s="18">
        <v>1233</v>
      </c>
      <c r="J315" s="18">
        <v>0</v>
      </c>
      <c r="K315" s="18">
        <v>0</v>
      </c>
      <c r="L315" s="19">
        <f>SUM(F315:K315)</f>
        <v>83392.570000000007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8185.51</v>
      </c>
      <c r="G316" s="18">
        <v>3683.06</v>
      </c>
      <c r="H316" s="18">
        <v>2830.1</v>
      </c>
      <c r="I316" s="18">
        <v>6763.69</v>
      </c>
      <c r="J316" s="18">
        <v>465.01</v>
      </c>
      <c r="K316" s="18">
        <v>0</v>
      </c>
      <c r="L316" s="19">
        <f>SUM(F316:K316)</f>
        <v>21927.37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13070.7</v>
      </c>
      <c r="G317" s="18">
        <f>2292.46+200.1+36.9+34.5+979.51+2269.1</f>
        <v>5812.57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18883.27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2250+525+2760</f>
        <v>5535</v>
      </c>
      <c r="G320" s="18">
        <f>40.18+78.12+211.18+443.98</f>
        <v>773.46</v>
      </c>
      <c r="H320" s="18">
        <f>3750+630+1290+259.62</f>
        <v>5929.62</v>
      </c>
      <c r="I320" s="18">
        <f>476.29+804</f>
        <v>1280.29</v>
      </c>
      <c r="J320" s="18">
        <v>0</v>
      </c>
      <c r="K320" s="18">
        <v>0</v>
      </c>
      <c r="L320" s="19">
        <f t="shared" si="16"/>
        <v>13518.369999999999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68032.210000000006</v>
      </c>
      <c r="G328" s="42">
        <f t="shared" si="17"/>
        <v>20541</v>
      </c>
      <c r="H328" s="42">
        <f t="shared" si="17"/>
        <v>41456.400000000001</v>
      </c>
      <c r="I328" s="42">
        <f t="shared" si="17"/>
        <v>11986.23</v>
      </c>
      <c r="J328" s="42">
        <f t="shared" si="17"/>
        <v>465.01</v>
      </c>
      <c r="K328" s="42">
        <f t="shared" si="17"/>
        <v>0</v>
      </c>
      <c r="L328" s="41">
        <f t="shared" si="17"/>
        <v>142480.85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462620.37</v>
      </c>
      <c r="G338" s="41">
        <f t="shared" si="20"/>
        <v>106319.79</v>
      </c>
      <c r="H338" s="41">
        <f t="shared" si="20"/>
        <v>227571.55999999997</v>
      </c>
      <c r="I338" s="41">
        <f t="shared" si="20"/>
        <v>35497.25</v>
      </c>
      <c r="J338" s="41">
        <f t="shared" si="20"/>
        <v>27840.02</v>
      </c>
      <c r="K338" s="41">
        <f t="shared" si="20"/>
        <v>0</v>
      </c>
      <c r="L338" s="41">
        <f t="shared" si="20"/>
        <v>859848.98999999987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f>11151.66+68.75</f>
        <v>11220.41</v>
      </c>
      <c r="L344" s="19">
        <f t="shared" ref="L344:L350" si="21">SUM(F344:K344)</f>
        <v>11220.41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11220.41</v>
      </c>
      <c r="L351" s="41">
        <f>SUM(L341:L350)</f>
        <v>11220.41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462620.37</v>
      </c>
      <c r="G352" s="41">
        <f>G338</f>
        <v>106319.79</v>
      </c>
      <c r="H352" s="41">
        <f>H338</f>
        <v>227571.55999999997</v>
      </c>
      <c r="I352" s="41">
        <f>I338</f>
        <v>35497.25</v>
      </c>
      <c r="J352" s="41">
        <f>J338</f>
        <v>27840.02</v>
      </c>
      <c r="K352" s="47">
        <f>K338+K351</f>
        <v>11220.41</v>
      </c>
      <c r="L352" s="41">
        <f>L338+L351</f>
        <v>871069.39999999991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84933.29+0.62</f>
        <v>84933.909999999989</v>
      </c>
      <c r="G358" s="18">
        <v>16544.189999999999</v>
      </c>
      <c r="H358" s="18">
        <v>2838.04</v>
      </c>
      <c r="I358" s="18">
        <v>61638.3</v>
      </c>
      <c r="J358" s="18">
        <v>1354.54</v>
      </c>
      <c r="K358" s="18">
        <v>487.81</v>
      </c>
      <c r="L358" s="13">
        <f>SUM(F358:K358)</f>
        <v>167796.79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73756.460000000006</v>
      </c>
      <c r="G359" s="18">
        <v>42829.36</v>
      </c>
      <c r="H359" s="18">
        <v>3281.02</v>
      </c>
      <c r="I359" s="18">
        <v>58189.39</v>
      </c>
      <c r="J359" s="18">
        <v>122.51</v>
      </c>
      <c r="K359" s="18">
        <v>410.79</v>
      </c>
      <c r="L359" s="19">
        <f>SUM(F359:K359)</f>
        <v>178589.53000000003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84697.23</v>
      </c>
      <c r="G360" s="18">
        <v>28908.62</v>
      </c>
      <c r="H360" s="18">
        <v>6735.97</v>
      </c>
      <c r="I360" s="18">
        <v>61866.51</v>
      </c>
      <c r="J360" s="18">
        <v>1557.52</v>
      </c>
      <c r="K360" s="18">
        <v>385.11</v>
      </c>
      <c r="L360" s="19">
        <f>SUM(F360:K360)</f>
        <v>184150.95999999996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243387.59999999998</v>
      </c>
      <c r="G362" s="47">
        <f t="shared" si="22"/>
        <v>88282.17</v>
      </c>
      <c r="H362" s="47">
        <f t="shared" si="22"/>
        <v>12855.029999999999</v>
      </c>
      <c r="I362" s="47">
        <f t="shared" si="22"/>
        <v>181694.2</v>
      </c>
      <c r="J362" s="47">
        <f t="shared" si="22"/>
        <v>3034.5699999999997</v>
      </c>
      <c r="K362" s="47">
        <f t="shared" si="22"/>
        <v>1283.71</v>
      </c>
      <c r="L362" s="47">
        <f t="shared" si="22"/>
        <v>530537.28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57138.03</v>
      </c>
      <c r="G367" s="18">
        <v>51333.06</v>
      </c>
      <c r="H367" s="18">
        <v>54398.13</v>
      </c>
      <c r="I367" s="56">
        <f>SUM(F367:H367)</f>
        <v>162869.22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4500.2700000000004</v>
      </c>
      <c r="G368" s="63">
        <v>6856.33</v>
      </c>
      <c r="H368" s="63">
        <v>7468.38</v>
      </c>
      <c r="I368" s="56">
        <f>SUM(F368:H368)</f>
        <v>18824.98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61638.3</v>
      </c>
      <c r="G369" s="47">
        <f>SUM(G367:G368)</f>
        <v>58189.39</v>
      </c>
      <c r="H369" s="47">
        <f>SUM(H367:H368)</f>
        <v>61866.509999999995</v>
      </c>
      <c r="I369" s="47">
        <f>SUM(I367:I368)</f>
        <v>181694.2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206232</v>
      </c>
      <c r="H396" s="18">
        <v>7057.69</v>
      </c>
      <c r="I396" s="18"/>
      <c r="J396" s="24" t="s">
        <v>286</v>
      </c>
      <c r="K396" s="24" t="s">
        <v>286</v>
      </c>
      <c r="L396" s="56">
        <f t="shared" si="26"/>
        <v>213289.69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2181.14</v>
      </c>
      <c r="I397" s="18"/>
      <c r="J397" s="24" t="s">
        <v>286</v>
      </c>
      <c r="K397" s="24" t="s">
        <v>286</v>
      </c>
      <c r="L397" s="56">
        <f t="shared" si="26"/>
        <v>2181.14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13768</v>
      </c>
      <c r="H399" s="18">
        <v>709.6</v>
      </c>
      <c r="I399" s="18"/>
      <c r="J399" s="24" t="s">
        <v>286</v>
      </c>
      <c r="K399" s="24" t="s">
        <v>286</v>
      </c>
      <c r="L399" s="56">
        <f t="shared" si="26"/>
        <v>14477.6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f>34000+10000</f>
        <v>44000</v>
      </c>
      <c r="H400" s="18">
        <v>728.48</v>
      </c>
      <c r="I400" s="18"/>
      <c r="J400" s="24" t="s">
        <v>286</v>
      </c>
      <c r="K400" s="24" t="s">
        <v>286</v>
      </c>
      <c r="L400" s="56">
        <f t="shared" si="26"/>
        <v>44728.480000000003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264000</v>
      </c>
      <c r="H401" s="47">
        <f>SUM(H395:H400)</f>
        <v>10676.91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274676.91000000003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 t="s">
        <v>917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v>1428.69</v>
      </c>
      <c r="I403" s="18"/>
      <c r="J403" s="24" t="s">
        <v>286</v>
      </c>
      <c r="K403" s="24" t="s">
        <v>286</v>
      </c>
      <c r="L403" s="56">
        <f>SUM(F403:K403)</f>
        <v>1428.69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1428.69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1428.69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264000</v>
      </c>
      <c r="H408" s="47">
        <f>H393+H401+H407</f>
        <v>12105.6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276105.60000000003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>
        <v>78948</v>
      </c>
      <c r="K422" s="18"/>
      <c r="L422" s="56">
        <f t="shared" si="29"/>
        <v>78948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>
        <v>15058.7</v>
      </c>
      <c r="K425" s="18"/>
      <c r="L425" s="56">
        <f t="shared" si="29"/>
        <v>15058.7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>
        <v>42301.62</v>
      </c>
      <c r="K426" s="18"/>
      <c r="L426" s="56">
        <f t="shared" si="29"/>
        <v>42301.62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136308.32</v>
      </c>
      <c r="K427" s="47">
        <f t="shared" si="30"/>
        <v>0</v>
      </c>
      <c r="L427" s="47">
        <f t="shared" si="30"/>
        <v>136308.32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 t="s">
        <v>917</v>
      </c>
      <c r="B429" s="6">
        <v>17</v>
      </c>
      <c r="C429" s="6">
        <v>15</v>
      </c>
      <c r="D429" s="2" t="s">
        <v>430</v>
      </c>
      <c r="E429" s="6"/>
      <c r="F429" s="18"/>
      <c r="G429" s="18"/>
      <c r="H429" s="18">
        <v>1150</v>
      </c>
      <c r="I429" s="18"/>
      <c r="J429" s="18"/>
      <c r="K429" s="18"/>
      <c r="L429" s="56">
        <f>SUM(F429:K429)</f>
        <v>1150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1150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1150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1150</v>
      </c>
      <c r="I434" s="47">
        <f t="shared" si="32"/>
        <v>0</v>
      </c>
      <c r="J434" s="47">
        <f t="shared" si="32"/>
        <v>136308.32</v>
      </c>
      <c r="K434" s="47">
        <f t="shared" si="32"/>
        <v>0</v>
      </c>
      <c r="L434" s="47">
        <f t="shared" si="32"/>
        <v>137458.32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733333.58</v>
      </c>
      <c r="G440" s="18"/>
      <c r="H440" s="18">
        <v>57506.75</v>
      </c>
      <c r="I440" s="56">
        <f t="shared" si="33"/>
        <v>790840.33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733333.58</v>
      </c>
      <c r="G446" s="13">
        <f>SUM(G439:G445)</f>
        <v>0</v>
      </c>
      <c r="H446" s="13">
        <f>SUM(H439:H445)</f>
        <v>57506.75</v>
      </c>
      <c r="I446" s="13">
        <f>SUM(I439:I445)</f>
        <v>790840.33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733333.58</v>
      </c>
      <c r="G459" s="18"/>
      <c r="H459" s="18">
        <v>57506.75</v>
      </c>
      <c r="I459" s="56">
        <f t="shared" si="34"/>
        <v>790840.33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733333.58</v>
      </c>
      <c r="G460" s="83">
        <f>SUM(G454:G459)</f>
        <v>0</v>
      </c>
      <c r="H460" s="83">
        <f>SUM(H454:H459)</f>
        <v>57506.75</v>
      </c>
      <c r="I460" s="83">
        <f>SUM(I454:I459)</f>
        <v>790840.33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733333.58</v>
      </c>
      <c r="G461" s="42">
        <f>G452+G460</f>
        <v>0</v>
      </c>
      <c r="H461" s="42">
        <f>H452+H460</f>
        <v>57506.75</v>
      </c>
      <c r="I461" s="42">
        <f>I452+I460</f>
        <v>790840.33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1038712.6200000001</v>
      </c>
      <c r="G465" s="18">
        <v>0</v>
      </c>
      <c r="H465" s="18">
        <v>0</v>
      </c>
      <c r="I465" s="18"/>
      <c r="J465" s="18">
        <v>652193.05000000005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22120968.62</f>
        <v>22120968.620000001</v>
      </c>
      <c r="G468" s="18">
        <v>530537.28</v>
      </c>
      <c r="H468" s="18">
        <v>871069.4</v>
      </c>
      <c r="I468" s="18"/>
      <c r="J468" s="18">
        <v>276105.59999999998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22120968.620000001</v>
      </c>
      <c r="G470" s="53">
        <f>SUM(G468:G469)</f>
        <v>530537.28</v>
      </c>
      <c r="H470" s="53">
        <f>SUM(H468:H469)</f>
        <v>871069.4</v>
      </c>
      <c r="I470" s="53">
        <f>SUM(I468:I469)</f>
        <v>0</v>
      </c>
      <c r="J470" s="53">
        <f>SUM(J468:J469)</f>
        <v>276105.59999999998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22710310.62+3417.73</f>
        <v>22713728.350000001</v>
      </c>
      <c r="G472" s="18">
        <v>530537.28</v>
      </c>
      <c r="H472" s="18">
        <v>871069.4</v>
      </c>
      <c r="I472" s="18"/>
      <c r="J472" s="18">
        <v>137458.32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22713728.350000001</v>
      </c>
      <c r="G474" s="53">
        <f>SUM(G472:G473)</f>
        <v>530537.28</v>
      </c>
      <c r="H474" s="53">
        <f>SUM(H472:H473)</f>
        <v>871069.4</v>
      </c>
      <c r="I474" s="53">
        <f>SUM(I472:I473)</f>
        <v>0</v>
      </c>
      <c r="J474" s="53">
        <f>SUM(J472:J473)</f>
        <v>137458.32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445952.8900000006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790840.33000000007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13402490</v>
      </c>
      <c r="G493" s="18">
        <v>1060000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4.12</v>
      </c>
      <c r="G494" s="18">
        <v>5.0999999999999996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4471579.4800000004</v>
      </c>
      <c r="G495" s="18">
        <v>840000</v>
      </c>
      <c r="H495" s="18"/>
      <c r="I495" s="18"/>
      <c r="J495" s="18"/>
      <c r="K495" s="53">
        <f>SUM(F495:J495)</f>
        <v>5311579.4800000004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592893.43000000005</v>
      </c>
      <c r="G497" s="18">
        <v>105000</v>
      </c>
      <c r="H497" s="18"/>
      <c r="I497" s="18"/>
      <c r="J497" s="18"/>
      <c r="K497" s="53">
        <f t="shared" si="35"/>
        <v>697893.43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3878686.0500000003</v>
      </c>
      <c r="G498" s="204">
        <f>G495-G497</f>
        <v>735000</v>
      </c>
      <c r="H498" s="204"/>
      <c r="I498" s="204"/>
      <c r="J498" s="204"/>
      <c r="K498" s="205">
        <f t="shared" si="35"/>
        <v>4613686.0500000007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3885753.95</v>
      </c>
      <c r="G499" s="18">
        <v>131197.5</v>
      </c>
      <c r="H499" s="18"/>
      <c r="I499" s="18"/>
      <c r="J499" s="18"/>
      <c r="K499" s="53">
        <f t="shared" si="35"/>
        <v>4016951.45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7764440</v>
      </c>
      <c r="G500" s="42">
        <f>SUM(G498:G499)</f>
        <v>866197.5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8630637.5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568499.15</v>
      </c>
      <c r="G501" s="204">
        <v>105000</v>
      </c>
      <c r="H501" s="204"/>
      <c r="I501" s="204"/>
      <c r="J501" s="204"/>
      <c r="K501" s="205">
        <f t="shared" si="35"/>
        <v>673499.15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393795.85</v>
      </c>
      <c r="G502" s="18">
        <v>34804.5</v>
      </c>
      <c r="H502" s="18"/>
      <c r="I502" s="18"/>
      <c r="J502" s="18"/>
      <c r="K502" s="53">
        <f t="shared" si="35"/>
        <v>428600.35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962295</v>
      </c>
      <c r="G503" s="42">
        <f>SUM(G501:G502)</f>
        <v>139804.5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1102099.5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790127.67-8024.44+104370</f>
        <v>886473.2300000001</v>
      </c>
      <c r="G521" s="18">
        <f>655331.13-613.91+25475.34</f>
        <v>680192.55999999994</v>
      </c>
      <c r="H521" s="18">
        <f>550382.07-2863.6+16215.37+8251.39</f>
        <v>571985.23</v>
      </c>
      <c r="I521" s="18">
        <f>4316.53+4110</f>
        <v>8426.5299999999988</v>
      </c>
      <c r="J521" s="18">
        <v>1317.58</v>
      </c>
      <c r="K521" s="18">
        <v>7580.49</v>
      </c>
      <c r="L521" s="88">
        <f>SUM(F521:K521)</f>
        <v>2155975.62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547479.48-6757.43</f>
        <v>540722.04999999993</v>
      </c>
      <c r="G522" s="18">
        <f>424021.48-516.98</f>
        <v>423504.5</v>
      </c>
      <c r="H522" s="18">
        <f>470753.5-2411.45+24064.64</f>
        <v>492406.69</v>
      </c>
      <c r="I522" s="18">
        <v>2234.3200000000002</v>
      </c>
      <c r="J522" s="18">
        <v>822</v>
      </c>
      <c r="K522" s="18">
        <v>6383.57</v>
      </c>
      <c r="L522" s="88">
        <f>SUM(F522:K522)</f>
        <v>1466073.1300000001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532081.05-6335.09+41041</f>
        <v>566786.96000000008</v>
      </c>
      <c r="G523" s="18">
        <f>438447.28-484.67+10221.89</f>
        <v>448184.50000000006</v>
      </c>
      <c r="H523" s="18">
        <f>894826.01-2260.73+22560.6</f>
        <v>915125.88</v>
      </c>
      <c r="I523" s="18">
        <f>3285.13</f>
        <v>3285.13</v>
      </c>
      <c r="J523" s="18">
        <v>757.15</v>
      </c>
      <c r="K523" s="18">
        <v>5984.6</v>
      </c>
      <c r="L523" s="88">
        <f>SUM(F523:K523)</f>
        <v>1940124.2200000002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1993982.2400000002</v>
      </c>
      <c r="G524" s="108">
        <f t="shared" ref="G524:L524" si="36">SUM(G521:G523)</f>
        <v>1551881.56</v>
      </c>
      <c r="H524" s="108">
        <f t="shared" si="36"/>
        <v>1979517.7999999998</v>
      </c>
      <c r="I524" s="108">
        <f t="shared" si="36"/>
        <v>13945.98</v>
      </c>
      <c r="J524" s="108">
        <f t="shared" si="36"/>
        <v>2896.73</v>
      </c>
      <c r="K524" s="108">
        <f t="shared" si="36"/>
        <v>19948.66</v>
      </c>
      <c r="L524" s="89">
        <f t="shared" si="36"/>
        <v>5562172.9700000007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119977.78</v>
      </c>
      <c r="G526" s="18">
        <v>24677.46</v>
      </c>
      <c r="H526" s="18">
        <f>866.08+62.81+74689.82</f>
        <v>75618.710000000006</v>
      </c>
      <c r="I526" s="18">
        <f>2660.71+85.46</f>
        <v>2746.17</v>
      </c>
      <c r="J526" s="18">
        <v>0</v>
      </c>
      <c r="K526" s="18">
        <v>0</v>
      </c>
      <c r="L526" s="88">
        <f>SUM(F526:K526)</f>
        <v>223020.12000000002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29655.45</v>
      </c>
      <c r="G527" s="18">
        <v>6792.87</v>
      </c>
      <c r="H527" s="18">
        <f>729.33+52.89+742.2</f>
        <v>1524.42</v>
      </c>
      <c r="I527" s="18">
        <f>1588.1+71.96</f>
        <v>1660.06</v>
      </c>
      <c r="J527" s="18">
        <v>0</v>
      </c>
      <c r="K527" s="18">
        <v>0</v>
      </c>
      <c r="L527" s="88">
        <f>SUM(F527:K527)</f>
        <v>39632.799999999996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27801.98</v>
      </c>
      <c r="G528" s="18">
        <v>6368.32</v>
      </c>
      <c r="H528" s="18">
        <f>683.75+49.59+695.81</f>
        <v>1429.15</v>
      </c>
      <c r="I528" s="18">
        <f>1488.85+67.47</f>
        <v>1556.32</v>
      </c>
      <c r="J528" s="18">
        <v>0</v>
      </c>
      <c r="K528" s="18">
        <v>0</v>
      </c>
      <c r="L528" s="88">
        <f>SUM(F528:K528)</f>
        <v>37155.770000000004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177435.21000000002</v>
      </c>
      <c r="G529" s="89">
        <f t="shared" ref="G529:L529" si="37">SUM(G526:G528)</f>
        <v>37838.649999999994</v>
      </c>
      <c r="H529" s="89">
        <f t="shared" si="37"/>
        <v>78572.28</v>
      </c>
      <c r="I529" s="89">
        <f t="shared" si="37"/>
        <v>5962.5499999999993</v>
      </c>
      <c r="J529" s="89">
        <f t="shared" si="37"/>
        <v>0</v>
      </c>
      <c r="K529" s="89">
        <f t="shared" si="37"/>
        <v>0</v>
      </c>
      <c r="L529" s="89">
        <f t="shared" si="37"/>
        <v>299808.69000000006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44461.74</v>
      </c>
      <c r="G531" s="18">
        <v>21412.22</v>
      </c>
      <c r="H531" s="18">
        <v>1698.22</v>
      </c>
      <c r="I531" s="18">
        <v>0</v>
      </c>
      <c r="J531" s="18">
        <v>0</v>
      </c>
      <c r="K531" s="18">
        <v>206.34</v>
      </c>
      <c r="L531" s="88">
        <f>SUM(F531:K531)</f>
        <v>67778.51999999999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37441.46</v>
      </c>
      <c r="G532" s="18">
        <v>18031.34</v>
      </c>
      <c r="H532" s="18">
        <v>1430.08</v>
      </c>
      <c r="I532" s="18">
        <v>0</v>
      </c>
      <c r="J532" s="18">
        <v>0</v>
      </c>
      <c r="K532" s="18">
        <v>173.76</v>
      </c>
      <c r="L532" s="88">
        <f>SUM(F532:K532)</f>
        <v>57076.640000000007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35101.370000000003</v>
      </c>
      <c r="G533" s="18">
        <v>16904.38</v>
      </c>
      <c r="H533" s="18">
        <v>1340.7</v>
      </c>
      <c r="I533" s="18">
        <v>0</v>
      </c>
      <c r="J533" s="18">
        <v>0</v>
      </c>
      <c r="K533" s="18">
        <v>162.9</v>
      </c>
      <c r="L533" s="88">
        <f>SUM(F533:K533)</f>
        <v>53509.35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117004.57</v>
      </c>
      <c r="G534" s="89">
        <f t="shared" ref="G534:L534" si="38">SUM(G531:G533)</f>
        <v>56347.94</v>
      </c>
      <c r="H534" s="89">
        <f t="shared" si="38"/>
        <v>4469</v>
      </c>
      <c r="I534" s="89">
        <f t="shared" si="38"/>
        <v>0</v>
      </c>
      <c r="J534" s="89">
        <f t="shared" si="38"/>
        <v>0</v>
      </c>
      <c r="K534" s="89">
        <f t="shared" si="38"/>
        <v>543</v>
      </c>
      <c r="L534" s="89">
        <f t="shared" si="38"/>
        <v>178364.51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2863.6</v>
      </c>
      <c r="I536" s="18"/>
      <c r="J536" s="18"/>
      <c r="K536" s="18"/>
      <c r="L536" s="88">
        <f>SUM(F536:K536)</f>
        <v>2863.6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2411.4499999999998</v>
      </c>
      <c r="I537" s="18"/>
      <c r="J537" s="18"/>
      <c r="K537" s="18"/>
      <c r="L537" s="88">
        <f>SUM(F537:K537)</f>
        <v>2411.4499999999998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2260.73</v>
      </c>
      <c r="I538" s="18"/>
      <c r="J538" s="18"/>
      <c r="K538" s="18"/>
      <c r="L538" s="88">
        <f>SUM(F538:K538)</f>
        <v>2260.73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7535.7799999999988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7535.7799999999988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154299.9</v>
      </c>
      <c r="I541" s="18"/>
      <c r="J541" s="18"/>
      <c r="K541" s="18"/>
      <c r="L541" s="88">
        <f>SUM(F541:K541)</f>
        <v>154299.9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129936.7</v>
      </c>
      <c r="I542" s="18"/>
      <c r="J542" s="18"/>
      <c r="K542" s="18"/>
      <c r="L542" s="88">
        <f>SUM(F542:K542)</f>
        <v>129936.7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121815.7</v>
      </c>
      <c r="I543" s="18"/>
      <c r="J543" s="18"/>
      <c r="K543" s="18"/>
      <c r="L543" s="88">
        <f>SUM(F543:K543)</f>
        <v>121815.7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406052.3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406052.3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2288422.02</v>
      </c>
      <c r="G545" s="89">
        <f t="shared" ref="G545:L545" si="41">G524+G529+G534+G539+G544</f>
        <v>1646068.15</v>
      </c>
      <c r="H545" s="89">
        <f t="shared" si="41"/>
        <v>2476147.1599999997</v>
      </c>
      <c r="I545" s="89">
        <f t="shared" si="41"/>
        <v>19908.53</v>
      </c>
      <c r="J545" s="89">
        <f t="shared" si="41"/>
        <v>2896.73</v>
      </c>
      <c r="K545" s="89">
        <f t="shared" si="41"/>
        <v>20491.66</v>
      </c>
      <c r="L545" s="89">
        <f t="shared" si="41"/>
        <v>6453934.2500000009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2155975.62</v>
      </c>
      <c r="G549" s="87">
        <f>L526</f>
        <v>223020.12000000002</v>
      </c>
      <c r="H549" s="87">
        <f>L531</f>
        <v>67778.51999999999</v>
      </c>
      <c r="I549" s="87">
        <f>L536</f>
        <v>2863.6</v>
      </c>
      <c r="J549" s="87">
        <f>L541</f>
        <v>154299.9</v>
      </c>
      <c r="K549" s="87">
        <f>SUM(F549:J549)</f>
        <v>2603937.7600000002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1466073.1300000001</v>
      </c>
      <c r="G550" s="87">
        <f>L527</f>
        <v>39632.799999999996</v>
      </c>
      <c r="H550" s="87">
        <f>L532</f>
        <v>57076.640000000007</v>
      </c>
      <c r="I550" s="87">
        <f>L537</f>
        <v>2411.4499999999998</v>
      </c>
      <c r="J550" s="87">
        <f>L542</f>
        <v>129936.7</v>
      </c>
      <c r="K550" s="87">
        <f>SUM(F550:J550)</f>
        <v>1695130.72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1940124.2200000002</v>
      </c>
      <c r="G551" s="87">
        <f>L528</f>
        <v>37155.770000000004</v>
      </c>
      <c r="H551" s="87">
        <f>L533</f>
        <v>53509.35</v>
      </c>
      <c r="I551" s="87">
        <f>L538</f>
        <v>2260.73</v>
      </c>
      <c r="J551" s="87">
        <f>L543</f>
        <v>121815.7</v>
      </c>
      <c r="K551" s="87">
        <f>SUM(F551:J551)</f>
        <v>2154865.7700000005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5562172.9700000007</v>
      </c>
      <c r="G552" s="89">
        <f t="shared" si="42"/>
        <v>299808.69000000006</v>
      </c>
      <c r="H552" s="89">
        <f t="shared" si="42"/>
        <v>178364.51</v>
      </c>
      <c r="I552" s="89">
        <f t="shared" si="42"/>
        <v>7535.7799999999988</v>
      </c>
      <c r="J552" s="89">
        <f t="shared" si="42"/>
        <v>406052.3</v>
      </c>
      <c r="K552" s="89">
        <f t="shared" si="42"/>
        <v>6453934.2500000009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8024.44</f>
        <v>8024.44</v>
      </c>
      <c r="G562" s="18">
        <v>613.91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8638.35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6757.43</v>
      </c>
      <c r="G563" s="18">
        <v>516.98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7274.41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6335.09</v>
      </c>
      <c r="G564" s="18">
        <v>484.67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6819.76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21116.959999999999</v>
      </c>
      <c r="G565" s="89">
        <f t="shared" si="44"/>
        <v>1615.56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22732.52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21116.959999999999</v>
      </c>
      <c r="G571" s="89">
        <f t="shared" ref="G571:L571" si="46">G560+G565+G570</f>
        <v>1615.56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22732.52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500</v>
      </c>
      <c r="I575" s="87">
        <f>SUM(F575:H575)</f>
        <v>500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12262</v>
      </c>
      <c r="G579" s="18">
        <v>47156.14</v>
      </c>
      <c r="H579" s="18">
        <v>17642.080000000002</v>
      </c>
      <c r="I579" s="87">
        <f t="shared" si="47"/>
        <v>77060.22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112553.7</v>
      </c>
      <c r="G582" s="18">
        <v>105752</v>
      </c>
      <c r="H582" s="18">
        <v>558578.9</v>
      </c>
      <c r="I582" s="87">
        <f t="shared" si="47"/>
        <v>776884.60000000009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129483</v>
      </c>
      <c r="I584" s="87">
        <f t="shared" si="47"/>
        <v>129483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183252.6</v>
      </c>
      <c r="I591" s="18">
        <v>154318</v>
      </c>
      <c r="J591" s="18">
        <v>118631.94</v>
      </c>
      <c r="K591" s="104">
        <f t="shared" ref="K591:K597" si="48">SUM(H591:J591)</f>
        <v>456202.54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154299.9</v>
      </c>
      <c r="I592" s="18">
        <v>129936.7</v>
      </c>
      <c r="J592" s="18">
        <v>121815.8</v>
      </c>
      <c r="K592" s="104">
        <f t="shared" si="48"/>
        <v>406052.39999999997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26041.16</v>
      </c>
      <c r="K593" s="104">
        <f t="shared" si="48"/>
        <v>26041.16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6879.49</v>
      </c>
      <c r="J594" s="18">
        <v>30926.53</v>
      </c>
      <c r="K594" s="104">
        <f t="shared" si="48"/>
        <v>37806.019999999997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3016.76</v>
      </c>
      <c r="I595" s="18">
        <v>2321.4500000000003</v>
      </c>
      <c r="J595" s="18">
        <v>6168.14</v>
      </c>
      <c r="K595" s="104">
        <f t="shared" si="48"/>
        <v>11506.350000000002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8269.91</v>
      </c>
      <c r="I597" s="18">
        <v>6964.13</v>
      </c>
      <c r="J597" s="18">
        <v>6528.87</v>
      </c>
      <c r="K597" s="104">
        <f t="shared" si="48"/>
        <v>21762.91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348839.17</v>
      </c>
      <c r="I598" s="108">
        <f>SUM(I591:I597)</f>
        <v>300419.77</v>
      </c>
      <c r="J598" s="108">
        <f>SUM(J591:J597)</f>
        <v>310112.43999999994</v>
      </c>
      <c r="K598" s="108">
        <f>SUM(K591:K597)</f>
        <v>959371.38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37391.13+14820</f>
        <v>52211.13</v>
      </c>
      <c r="I604" s="18">
        <f>42180.68+12555.01</f>
        <v>54735.69</v>
      </c>
      <c r="J604" s="18">
        <f>89076.29+465.01</f>
        <v>89541.299999999988</v>
      </c>
      <c r="K604" s="104">
        <f>SUM(H604:J604)</f>
        <v>196488.12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52211.13</v>
      </c>
      <c r="I605" s="108">
        <f>SUM(I602:I604)</f>
        <v>54735.69</v>
      </c>
      <c r="J605" s="108">
        <f>SUM(J602:J604)</f>
        <v>89541.299999999988</v>
      </c>
      <c r="K605" s="108">
        <f>SUM(K602:K604)</f>
        <v>196488.12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1197847.68</v>
      </c>
      <c r="H617" s="109">
        <f>SUM(F52)</f>
        <v>1197847.6800000002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10549.39</v>
      </c>
      <c r="H618" s="109">
        <f>SUM(G52)</f>
        <v>10549.39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174979.62</v>
      </c>
      <c r="H619" s="109">
        <f>SUM(H52)</f>
        <v>174979.62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790840.33</v>
      </c>
      <c r="H621" s="109">
        <f>SUM(J52)</f>
        <v>790840.33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445952.89</v>
      </c>
      <c r="H622" s="109">
        <f>F476</f>
        <v>445952.8900000006</v>
      </c>
      <c r="I622" s="121" t="s">
        <v>101</v>
      </c>
      <c r="J622" s="109">
        <f t="shared" ref="J622:J655" si="50">G622-H622</f>
        <v>-5.8207660913467407E-10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790840.33</v>
      </c>
      <c r="H626" s="109">
        <f>J476</f>
        <v>790840.33000000007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22120968.620000001</v>
      </c>
      <c r="H627" s="104">
        <f>SUM(F468)</f>
        <v>22120968.620000001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530537.27999999991</v>
      </c>
      <c r="H628" s="104">
        <f>SUM(G468)</f>
        <v>530537.28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871069.39999999991</v>
      </c>
      <c r="H629" s="104">
        <f>SUM(H468)</f>
        <v>871069.4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276105.59999999998</v>
      </c>
      <c r="H631" s="104">
        <f>SUM(J468)</f>
        <v>276105.59999999998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22713728.350000001</v>
      </c>
      <c r="H632" s="104">
        <f>SUM(F472)</f>
        <v>22713728.350000001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871069.39999999991</v>
      </c>
      <c r="H633" s="104">
        <f>SUM(H472)</f>
        <v>871069.4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181694.2</v>
      </c>
      <c r="H634" s="104">
        <f>I369</f>
        <v>181694.2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530537.28</v>
      </c>
      <c r="H635" s="104">
        <f>SUM(G472)</f>
        <v>530537.28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276105.60000000003</v>
      </c>
      <c r="H637" s="164">
        <f>SUM(J468)</f>
        <v>276105.59999999998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137458.32</v>
      </c>
      <c r="H638" s="164">
        <f>SUM(J472)</f>
        <v>137458.32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733333.58</v>
      </c>
      <c r="H639" s="104">
        <f>SUM(F461)</f>
        <v>733333.58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57506.75</v>
      </c>
      <c r="H641" s="104">
        <f>SUM(H461)</f>
        <v>57506.75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790840.33</v>
      </c>
      <c r="H642" s="104">
        <f>SUM(I461)</f>
        <v>790840.33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12105.6</v>
      </c>
      <c r="H644" s="104">
        <f>H408</f>
        <v>12105.6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264000</v>
      </c>
      <c r="H645" s="104">
        <f>G408</f>
        <v>264000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276105.59999999998</v>
      </c>
      <c r="H646" s="104">
        <f>L408</f>
        <v>276105.60000000003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959371.38</v>
      </c>
      <c r="H647" s="104">
        <f>L208+L226+L244</f>
        <v>959371.37999999989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196488.12</v>
      </c>
      <c r="H648" s="104">
        <f>(J257+J338)-(J255+J336)</f>
        <v>196488.11999999997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348839.17</v>
      </c>
      <c r="H649" s="104">
        <f>H598</f>
        <v>348839.17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300419.77</v>
      </c>
      <c r="H650" s="104">
        <f>I598</f>
        <v>300419.77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310112.44</v>
      </c>
      <c r="H651" s="104">
        <f>J598</f>
        <v>310112.43999999994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66633.08</v>
      </c>
      <c r="H652" s="104">
        <f>K263+K345</f>
        <v>66633.08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264000</v>
      </c>
      <c r="H655" s="104">
        <f>K266+K347</f>
        <v>264000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8000361.3800000008</v>
      </c>
      <c r="G660" s="19">
        <f>(L229+L309+L359)</f>
        <v>6907447.5200000005</v>
      </c>
      <c r="H660" s="19">
        <f>(L247+L328+L360)</f>
        <v>7676507.7700000005</v>
      </c>
      <c r="I660" s="19">
        <f>SUM(F660:H660)</f>
        <v>22584316.670000002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85649.618115295685</v>
      </c>
      <c r="G661" s="19">
        <f>(L359/IF(SUM(L358:L360)=0,1,SUM(L358:L360))*(SUM(G97:G110)))</f>
        <v>91158.627312776036</v>
      </c>
      <c r="H661" s="19">
        <f>(L360/IF(SUM(L358:L360)=0,1,SUM(L358:L360))*(SUM(G97:G110)))</f>
        <v>93997.384571928269</v>
      </c>
      <c r="I661" s="19">
        <f>SUM(F661:H661)</f>
        <v>270805.63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348839.17</v>
      </c>
      <c r="G662" s="19">
        <f>(L226+L306)-(J226+J306)</f>
        <v>300419.77</v>
      </c>
      <c r="H662" s="19">
        <f>(L244+L325)-(J244+J325)</f>
        <v>310112.44</v>
      </c>
      <c r="I662" s="19">
        <f>SUM(F662:H662)</f>
        <v>959371.37999999989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177026.83</v>
      </c>
      <c r="G663" s="199">
        <f>SUM(G575:G587)+SUM(I602:I604)+L612</f>
        <v>207643.83000000002</v>
      </c>
      <c r="H663" s="199">
        <f>SUM(H575:H587)+SUM(J602:J604)+L613</f>
        <v>795745.28000000003</v>
      </c>
      <c r="I663" s="19">
        <f>SUM(F663:H663)</f>
        <v>1180415.94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7388845.7618847052</v>
      </c>
      <c r="G664" s="19">
        <f>G660-SUM(G661:G663)</f>
        <v>6308225.2926872242</v>
      </c>
      <c r="H664" s="19">
        <f>H660-SUM(H661:H663)</f>
        <v>6476652.6654280722</v>
      </c>
      <c r="I664" s="19">
        <f>I660-SUM(I661:I663)</f>
        <v>20173723.720000003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462.31</v>
      </c>
      <c r="G665" s="248">
        <v>395.25</v>
      </c>
      <c r="H665" s="248">
        <v>366.61</v>
      </c>
      <c r="I665" s="19">
        <f>SUM(F665:H665)</f>
        <v>1224.17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15982.45</v>
      </c>
      <c r="G667" s="19">
        <f>ROUND(G664/G665,2)</f>
        <v>15960.09</v>
      </c>
      <c r="H667" s="19">
        <f>ROUND(H664/H665,2)</f>
        <v>17666.330000000002</v>
      </c>
      <c r="I667" s="19">
        <f>ROUND(I664/I665,2)</f>
        <v>16479.509999999998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-14.67</v>
      </c>
      <c r="I670" s="19">
        <f>SUM(F670:H670)</f>
        <v>-14.67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15982.45</v>
      </c>
      <c r="G672" s="19">
        <f>ROUND((G664+G669)/(G665+G670),2)</f>
        <v>15960.09</v>
      </c>
      <c r="H672" s="19">
        <f>ROUND((H664+H669)/(H665+H670),2)</f>
        <v>18402.72</v>
      </c>
      <c r="I672" s="19">
        <f>ROUND((I664+I669)/(I665+I670),2)</f>
        <v>16679.39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24" sqref="B24:C2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Raymond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5512412.1799999997</v>
      </c>
      <c r="C9" s="229">
        <f>'DOE25'!G197+'DOE25'!G215+'DOE25'!G233+'DOE25'!G276+'DOE25'!G295+'DOE25'!G314</f>
        <v>2683082.2599999998</v>
      </c>
    </row>
    <row r="10" spans="1:3" x14ac:dyDescent="0.2">
      <c r="A10" t="s">
        <v>773</v>
      </c>
      <c r="B10" s="240">
        <v>5158236.32</v>
      </c>
      <c r="C10" s="240">
        <v>2555773.5299999998</v>
      </c>
    </row>
    <row r="11" spans="1:3" x14ac:dyDescent="0.2">
      <c r="A11" t="s">
        <v>774</v>
      </c>
      <c r="B11" s="240">
        <v>95373.2</v>
      </c>
      <c r="C11" s="240">
        <v>52787.41</v>
      </c>
    </row>
    <row r="12" spans="1:3" x14ac:dyDescent="0.2">
      <c r="A12" t="s">
        <v>775</v>
      </c>
      <c r="B12" s="240">
        <v>258802.66</v>
      </c>
      <c r="C12" s="240">
        <v>74521.320000000007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5512412.1800000006</v>
      </c>
      <c r="C13" s="231">
        <f>SUM(C10:C12)</f>
        <v>2683082.2599999998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1945199.18</v>
      </c>
      <c r="C18" s="229">
        <f>'DOE25'!G198+'DOE25'!G216+'DOE25'!G234+'DOE25'!G277+'DOE25'!G296+'DOE25'!G315</f>
        <v>1536024.1199999999</v>
      </c>
    </row>
    <row r="19" spans="1:3" x14ac:dyDescent="0.2">
      <c r="A19" t="s">
        <v>773</v>
      </c>
      <c r="B19" s="240">
        <v>831895.2</v>
      </c>
      <c r="C19" s="240">
        <v>445895.89</v>
      </c>
    </row>
    <row r="20" spans="1:3" x14ac:dyDescent="0.2">
      <c r="A20" t="s">
        <v>774</v>
      </c>
      <c r="B20" s="240">
        <v>922137.48</v>
      </c>
      <c r="C20" s="240">
        <v>976664.63</v>
      </c>
    </row>
    <row r="21" spans="1:3" x14ac:dyDescent="0.2">
      <c r="A21" t="s">
        <v>775</v>
      </c>
      <c r="B21" s="240">
        <v>191166.5</v>
      </c>
      <c r="C21" s="240">
        <v>113463.6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1945199.18</v>
      </c>
      <c r="C22" s="231">
        <f>SUM(C19:C21)</f>
        <v>1536024.12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16371.02</v>
      </c>
      <c r="C27" s="234">
        <f>'DOE25'!G199+'DOE25'!G217+'DOE25'!G235+'DOE25'!G278+'DOE25'!G297+'DOE25'!G316</f>
        <v>7366.1200000000008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16371.02</v>
      </c>
      <c r="C30" s="240">
        <v>7366.12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16371.02</v>
      </c>
      <c r="C31" s="231">
        <f>SUM(C28:C30)</f>
        <v>7366.12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283053.54000000004</v>
      </c>
      <c r="C36" s="235">
        <f>'DOE25'!G200+'DOE25'!G218+'DOE25'!G236+'DOE25'!G279+'DOE25'!G298+'DOE25'!G317</f>
        <v>71950.12</v>
      </c>
    </row>
    <row r="37" spans="1:3" x14ac:dyDescent="0.2">
      <c r="A37" t="s">
        <v>773</v>
      </c>
      <c r="B37" s="240">
        <v>87949.39</v>
      </c>
      <c r="C37" s="240">
        <v>20226.57</v>
      </c>
    </row>
    <row r="38" spans="1:3" x14ac:dyDescent="0.2">
      <c r="A38" t="s">
        <v>774</v>
      </c>
      <c r="B38" s="240">
        <v>38578.33</v>
      </c>
      <c r="C38" s="240">
        <v>9227.9500000000007</v>
      </c>
    </row>
    <row r="39" spans="1:3" x14ac:dyDescent="0.2">
      <c r="A39" t="s">
        <v>775</v>
      </c>
      <c r="B39" s="240">
        <f>156525.8+0.02</f>
        <v>156525.81999999998</v>
      </c>
      <c r="C39" s="240">
        <v>42495.6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283053.53999999998</v>
      </c>
      <c r="C40" s="231">
        <f>SUM(C37:C39)</f>
        <v>71950.12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Raymond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14099145.650000002</v>
      </c>
      <c r="D5" s="20">
        <f>SUM('DOE25'!L197:L200)+SUM('DOE25'!L215:L218)+SUM('DOE25'!L233:L236)-F5-G5</f>
        <v>13995404.040000003</v>
      </c>
      <c r="E5" s="243"/>
      <c r="F5" s="255">
        <f>SUM('DOE25'!J197:J200)+SUM('DOE25'!J215:J218)+SUM('DOE25'!J233:J236)</f>
        <v>76576.95</v>
      </c>
      <c r="G5" s="53">
        <f>SUM('DOE25'!K197:K200)+SUM('DOE25'!K215:K218)+SUM('DOE25'!K233:K236)</f>
        <v>27164.66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1233715.4700000002</v>
      </c>
      <c r="D6" s="20">
        <f>'DOE25'!L202+'DOE25'!L220+'DOE25'!L238-F6-G6</f>
        <v>1233056.9500000002</v>
      </c>
      <c r="E6" s="243"/>
      <c r="F6" s="255">
        <f>'DOE25'!J202+'DOE25'!J220+'DOE25'!J238</f>
        <v>508.52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828</v>
      </c>
      <c r="C7" s="245">
        <f t="shared" si="0"/>
        <v>705030.91</v>
      </c>
      <c r="D7" s="20">
        <f>'DOE25'!L203+'DOE25'!L221+'DOE25'!L239-F7-G7</f>
        <v>621489.45000000007</v>
      </c>
      <c r="E7" s="243"/>
      <c r="F7" s="255">
        <f>'DOE25'!J203+'DOE25'!J221+'DOE25'!J239</f>
        <v>83541.460000000006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531034</v>
      </c>
      <c r="D8" s="243"/>
      <c r="E8" s="20">
        <f>'DOE25'!L204+'DOE25'!L222+'DOE25'!L240-F8-G8-D9-D11</f>
        <v>509390</v>
      </c>
      <c r="F8" s="255">
        <f>'DOE25'!J204+'DOE25'!J222+'DOE25'!J240</f>
        <v>0</v>
      </c>
      <c r="G8" s="53">
        <f>'DOE25'!K204+'DOE25'!K222+'DOE25'!K240</f>
        <v>21644</v>
      </c>
      <c r="H8" s="259"/>
    </row>
    <row r="9" spans="1:9" x14ac:dyDescent="0.2">
      <c r="A9" s="32">
        <v>2310</v>
      </c>
      <c r="B9" t="s">
        <v>812</v>
      </c>
      <c r="C9" s="245">
        <f t="shared" si="0"/>
        <v>29591.73</v>
      </c>
      <c r="D9" s="244">
        <v>29591.73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15466.5</v>
      </c>
      <c r="D10" s="243"/>
      <c r="E10" s="244">
        <v>15466.5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220049.65</v>
      </c>
      <c r="D11" s="244">
        <v>220049.65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1381939.22</v>
      </c>
      <c r="D12" s="20">
        <f>'DOE25'!L205+'DOE25'!L223+'DOE25'!L241-F12-G12</f>
        <v>1370948.22</v>
      </c>
      <c r="E12" s="243"/>
      <c r="F12" s="255">
        <f>'DOE25'!J205+'DOE25'!J223+'DOE25'!J241</f>
        <v>0</v>
      </c>
      <c r="G12" s="53">
        <f>'DOE25'!K205+'DOE25'!K223+'DOE25'!K241</f>
        <v>10991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225649.87000000002</v>
      </c>
      <c r="D13" s="243"/>
      <c r="E13" s="20">
        <f>'DOE25'!L206+'DOE25'!L224+'DOE25'!L242-F13-G13</f>
        <v>223679.34000000003</v>
      </c>
      <c r="F13" s="255">
        <f>'DOE25'!J206+'DOE25'!J224+'DOE25'!J242</f>
        <v>0</v>
      </c>
      <c r="G13" s="53">
        <f>'DOE25'!K206+'DOE25'!K224+'DOE25'!K242</f>
        <v>1970.5299999999997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1806239.3199999998</v>
      </c>
      <c r="D14" s="20">
        <f>'DOE25'!L207+'DOE25'!L225+'DOE25'!L243-F14-G14</f>
        <v>1798218.15</v>
      </c>
      <c r="E14" s="243"/>
      <c r="F14" s="255">
        <f>'DOE25'!J207+'DOE25'!J225+'DOE25'!J243</f>
        <v>8021.17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959371.37999999989</v>
      </c>
      <c r="D15" s="20">
        <f>'DOE25'!L208+'DOE25'!L226+'DOE25'!L244-F15-G15</f>
        <v>959371.37999999989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2163.1999999999998</v>
      </c>
      <c r="D16" s="243"/>
      <c r="E16" s="20">
        <f>'DOE25'!L209+'DOE25'!L227+'DOE25'!L245-F16-G16</f>
        <v>2163.1999999999998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19802.45</v>
      </c>
      <c r="D19" s="20">
        <f>'DOE25'!L253-F19-G19</f>
        <v>19802.45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20711.919999999998</v>
      </c>
      <c r="D22" s="243"/>
      <c r="E22" s="243"/>
      <c r="F22" s="255">
        <f>'DOE25'!L255+'DOE25'!L336</f>
        <v>20711.919999999998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1148650.5</v>
      </c>
      <c r="D25" s="243"/>
      <c r="E25" s="243"/>
      <c r="F25" s="258"/>
      <c r="G25" s="256"/>
      <c r="H25" s="257">
        <f>'DOE25'!L260+'DOE25'!L261+'DOE25'!L341+'DOE25'!L342</f>
        <v>1148650.5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367668.06000000006</v>
      </c>
      <c r="D29" s="20">
        <f>'DOE25'!L358+'DOE25'!L359+'DOE25'!L360-'DOE25'!I367-F29-G29</f>
        <v>363349.78</v>
      </c>
      <c r="E29" s="243"/>
      <c r="F29" s="255">
        <f>'DOE25'!J358+'DOE25'!J359+'DOE25'!J360</f>
        <v>3034.5699999999997</v>
      </c>
      <c r="G29" s="53">
        <f>'DOE25'!K358+'DOE25'!K359+'DOE25'!K360</f>
        <v>1283.71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859848.98999999987</v>
      </c>
      <c r="D31" s="20">
        <f>'DOE25'!L290+'DOE25'!L309+'DOE25'!L328+'DOE25'!L333+'DOE25'!L334+'DOE25'!L335-F31-G31</f>
        <v>832008.96999999986</v>
      </c>
      <c r="E31" s="243"/>
      <c r="F31" s="255">
        <f>'DOE25'!J290+'DOE25'!J309+'DOE25'!J328+'DOE25'!J333+'DOE25'!J334+'DOE25'!J335</f>
        <v>27840.02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21443290.77</v>
      </c>
      <c r="E33" s="246">
        <f>SUM(E5:E31)</f>
        <v>750699.04</v>
      </c>
      <c r="F33" s="246">
        <f>SUM(F5:F31)</f>
        <v>220234.61000000002</v>
      </c>
      <c r="G33" s="246">
        <f>SUM(G5:G31)</f>
        <v>63203.9</v>
      </c>
      <c r="H33" s="246">
        <f>SUM(H5:H31)</f>
        <v>1148650.5</v>
      </c>
    </row>
    <row r="35" spans="2:8" ht="12" thickBot="1" x14ac:dyDescent="0.25">
      <c r="B35" s="253" t="s">
        <v>841</v>
      </c>
      <c r="D35" s="254">
        <f>E33</f>
        <v>750699.04</v>
      </c>
      <c r="E35" s="249"/>
    </row>
    <row r="36" spans="2:8" ht="12" thickTop="1" x14ac:dyDescent="0.2">
      <c r="B36" t="s">
        <v>809</v>
      </c>
      <c r="D36" s="20">
        <f>D33</f>
        <v>21443290.77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1011898.64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790840.33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175029.15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10449.39</v>
      </c>
      <c r="E12" s="95">
        <f>'DOE25'!H13</f>
        <v>174979.62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10919.89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1197847.68</v>
      </c>
      <c r="D18" s="41">
        <f>SUM(D8:D17)</f>
        <v>10549.39</v>
      </c>
      <c r="E18" s="41">
        <f>SUM(E8:E17)</f>
        <v>174979.62</v>
      </c>
      <c r="F18" s="41">
        <f>SUM(F8:F17)</f>
        <v>0</v>
      </c>
      <c r="G18" s="41">
        <f>SUM(G8:G17)</f>
        <v>790840.33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748.71</v>
      </c>
      <c r="E21" s="95">
        <f>'DOE25'!H22</f>
        <v>174280.44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573220.38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87951.12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90723.29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9800.68</v>
      </c>
      <c r="E29" s="95">
        <f>'DOE25'!H30</f>
        <v>699.18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751894.79</v>
      </c>
      <c r="D31" s="41">
        <f>SUM(D21:D30)</f>
        <v>10549.39</v>
      </c>
      <c r="E31" s="41">
        <f>SUM(E21:E30)</f>
        <v>174979.62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195000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790840.33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60155.87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140797.01999999999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445952.89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790840.33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1197847.6800000002</v>
      </c>
      <c r="D51" s="41">
        <f>D50+D31</f>
        <v>10549.39</v>
      </c>
      <c r="E51" s="41">
        <f>E50+E31</f>
        <v>174979.62</v>
      </c>
      <c r="F51" s="41">
        <f>F50+F31</f>
        <v>0</v>
      </c>
      <c r="G51" s="41">
        <f>G50+G31</f>
        <v>790840.33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13670518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63056.820000000007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172.91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12105.6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251210.11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153070.05000000002</v>
      </c>
      <c r="D61" s="95">
        <f>SUM('DOE25'!G98:G110)</f>
        <v>19595.52</v>
      </c>
      <c r="E61" s="95">
        <f>SUM('DOE25'!H98:H110)</f>
        <v>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216299.78000000003</v>
      </c>
      <c r="D62" s="130">
        <f>SUM(D57:D61)</f>
        <v>270805.63</v>
      </c>
      <c r="E62" s="130">
        <f>SUM(E57:E61)</f>
        <v>500</v>
      </c>
      <c r="F62" s="130">
        <f>SUM(F57:F61)</f>
        <v>0</v>
      </c>
      <c r="G62" s="130">
        <f>SUM(G57:G61)</f>
        <v>12105.6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13886817.779999999</v>
      </c>
      <c r="D63" s="22">
        <f>D56+D62</f>
        <v>270805.63</v>
      </c>
      <c r="E63" s="22">
        <f>E56+E62</f>
        <v>500</v>
      </c>
      <c r="F63" s="22">
        <f>F56+F62</f>
        <v>0</v>
      </c>
      <c r="G63" s="22">
        <f>G56+G62</f>
        <v>12105.6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5280055.13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2017664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30596.65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7328315.7800000003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341485.76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205640.76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18939.2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7379.6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566065.72</v>
      </c>
      <c r="D78" s="130">
        <f>SUM(D72:D77)</f>
        <v>7379.6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7894381.5</v>
      </c>
      <c r="D81" s="130">
        <f>SUM(D79:D80)+D78+D70</f>
        <v>7379.6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328548.93</v>
      </c>
      <c r="D88" s="95">
        <f>SUM('DOE25'!G153:G161)</f>
        <v>185718.97</v>
      </c>
      <c r="E88" s="95">
        <f>SUM('DOE25'!H153:H161)</f>
        <v>870569.39999999991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328548.93</v>
      </c>
      <c r="D91" s="131">
        <f>SUM(D85:D90)</f>
        <v>185718.97</v>
      </c>
      <c r="E91" s="131">
        <f>SUM(E85:E90)</f>
        <v>870569.39999999991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66633.08</v>
      </c>
      <c r="E96" s="95">
        <f>'DOE25'!H179</f>
        <v>0</v>
      </c>
      <c r="F96" s="95">
        <f>'DOE25'!I179</f>
        <v>0</v>
      </c>
      <c r="G96" s="95">
        <f>'DOE25'!J179</f>
        <v>264000</v>
      </c>
    </row>
    <row r="97" spans="1:7" x14ac:dyDescent="0.2">
      <c r="A97" t="s">
        <v>752</v>
      </c>
      <c r="B97" s="32" t="s">
        <v>188</v>
      </c>
      <c r="C97" s="95">
        <f>SUM('DOE25'!F180:F181)</f>
        <v>11220.41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11220.41</v>
      </c>
      <c r="D103" s="86">
        <f>SUM(D93:D102)</f>
        <v>66633.08</v>
      </c>
      <c r="E103" s="86">
        <f>SUM(E93:E102)</f>
        <v>0</v>
      </c>
      <c r="F103" s="86">
        <f>SUM(F93:F102)</f>
        <v>0</v>
      </c>
      <c r="G103" s="86">
        <f>SUM(G93:G102)</f>
        <v>264000</v>
      </c>
    </row>
    <row r="104" spans="1:7" ht="12.75" thickTop="1" thickBot="1" x14ac:dyDescent="0.25">
      <c r="A104" s="33" t="s">
        <v>759</v>
      </c>
      <c r="C104" s="86">
        <f>C63+C81+C91+C103</f>
        <v>22120968.620000001</v>
      </c>
      <c r="D104" s="86">
        <f>D63+D81+D91+D103</f>
        <v>530537.27999999991</v>
      </c>
      <c r="E104" s="86">
        <f>E63+E81+E91+E103</f>
        <v>871069.39999999991</v>
      </c>
      <c r="F104" s="86">
        <f>F63+F81+F91+F103</f>
        <v>0</v>
      </c>
      <c r="G104" s="86">
        <f>G63+G81+G103</f>
        <v>276105.59999999998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8316478.4800000004</v>
      </c>
      <c r="D109" s="24" t="s">
        <v>286</v>
      </c>
      <c r="E109" s="95">
        <f>('DOE25'!L276)+('DOE25'!L295)+('DOE25'!L314)</f>
        <v>251443.90999999997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5336131.04</v>
      </c>
      <c r="D110" s="24" t="s">
        <v>286</v>
      </c>
      <c r="E110" s="95">
        <f>('DOE25'!L277)+('DOE25'!L296)+('DOE25'!L315)</f>
        <v>244881.18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129483</v>
      </c>
      <c r="D111" s="24" t="s">
        <v>286</v>
      </c>
      <c r="E111" s="95">
        <f>('DOE25'!L278)+('DOE25'!L297)+('DOE25'!L316)</f>
        <v>43854.75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317053.13</v>
      </c>
      <c r="D112" s="24" t="s">
        <v>286</v>
      </c>
      <c r="E112" s="95">
        <f>+('DOE25'!L279)+('DOE25'!L298)+('DOE25'!L317)</f>
        <v>162907.37999999998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19802.45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14118948.1</v>
      </c>
      <c r="D115" s="86">
        <f>SUM(D109:D114)</f>
        <v>0</v>
      </c>
      <c r="E115" s="86">
        <f>SUM(E109:E114)</f>
        <v>703087.22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1233715.4700000002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705030.91</v>
      </c>
      <c r="D119" s="24" t="s">
        <v>286</v>
      </c>
      <c r="E119" s="95">
        <f>+('DOE25'!L282)+('DOE25'!L301)+('DOE25'!L320)</f>
        <v>156761.76999999999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780675.38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1381939.22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225649.87000000002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1806239.3199999998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959371.37999999989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2163.1999999999998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530537.28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7094784.75</v>
      </c>
      <c r="D128" s="86">
        <f>SUM(D118:D127)</f>
        <v>530537.28</v>
      </c>
      <c r="E128" s="86">
        <f>SUM(E118:E127)</f>
        <v>156761.76999999999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20711.919999999998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697893.43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450757.07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11220.41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66633.08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274676.91000000003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1428.69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-12105.600000000035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1499995.5</v>
      </c>
      <c r="D144" s="141">
        <f>SUM(D130:D143)</f>
        <v>0</v>
      </c>
      <c r="E144" s="141">
        <f>SUM(E130:E143)</f>
        <v>11220.41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22713728.350000001</v>
      </c>
      <c r="D145" s="86">
        <f>(D115+D128+D144)</f>
        <v>530537.28</v>
      </c>
      <c r="E145" s="86">
        <f>(E115+E128+E144)</f>
        <v>871069.4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8/05</v>
      </c>
      <c r="C152" s="152" t="str">
        <f>'DOE25'!G491</f>
        <v>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8/25</v>
      </c>
      <c r="C153" s="152" t="str">
        <f>'DOE25'!G492</f>
        <v>8/24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13402490</v>
      </c>
      <c r="C154" s="137">
        <f>'DOE25'!G493</f>
        <v>1060000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4.12</v>
      </c>
      <c r="C155" s="137">
        <f>'DOE25'!G494</f>
        <v>5.0999999999999996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4471579.4800000004</v>
      </c>
      <c r="C156" s="137">
        <f>'DOE25'!G495</f>
        <v>840000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5311579.4800000004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592893.43000000005</v>
      </c>
      <c r="C158" s="137">
        <f>'DOE25'!G497</f>
        <v>105000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697893.43</v>
      </c>
    </row>
    <row r="159" spans="1:9" x14ac:dyDescent="0.2">
      <c r="A159" s="22" t="s">
        <v>35</v>
      </c>
      <c r="B159" s="137">
        <f>'DOE25'!F498</f>
        <v>3878686.0500000003</v>
      </c>
      <c r="C159" s="137">
        <f>'DOE25'!G498</f>
        <v>735000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4613686.0500000007</v>
      </c>
    </row>
    <row r="160" spans="1:9" x14ac:dyDescent="0.2">
      <c r="A160" s="22" t="s">
        <v>36</v>
      </c>
      <c r="B160" s="137">
        <f>'DOE25'!F499</f>
        <v>3885753.95</v>
      </c>
      <c r="C160" s="137">
        <f>'DOE25'!G499</f>
        <v>131197.5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4016951.45</v>
      </c>
    </row>
    <row r="161" spans="1:7" x14ac:dyDescent="0.2">
      <c r="A161" s="22" t="s">
        <v>37</v>
      </c>
      <c r="B161" s="137">
        <f>'DOE25'!F500</f>
        <v>7764440</v>
      </c>
      <c r="C161" s="137">
        <f>'DOE25'!G500</f>
        <v>866197.5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8630637.5</v>
      </c>
    </row>
    <row r="162" spans="1:7" x14ac:dyDescent="0.2">
      <c r="A162" s="22" t="s">
        <v>38</v>
      </c>
      <c r="B162" s="137">
        <f>'DOE25'!F501</f>
        <v>568499.15</v>
      </c>
      <c r="C162" s="137">
        <f>'DOE25'!G501</f>
        <v>105000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673499.15</v>
      </c>
    </row>
    <row r="163" spans="1:7" x14ac:dyDescent="0.2">
      <c r="A163" s="22" t="s">
        <v>39</v>
      </c>
      <c r="B163" s="137">
        <f>'DOE25'!F502</f>
        <v>393795.85</v>
      </c>
      <c r="C163" s="137">
        <f>'DOE25'!G502</f>
        <v>34804.5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428600.35</v>
      </c>
    </row>
    <row r="164" spans="1:7" x14ac:dyDescent="0.2">
      <c r="A164" s="22" t="s">
        <v>246</v>
      </c>
      <c r="B164" s="137">
        <f>'DOE25'!F503</f>
        <v>962295</v>
      </c>
      <c r="C164" s="137">
        <f>'DOE25'!G503</f>
        <v>139804.5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1102099.5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Raymond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15982</v>
      </c>
    </row>
    <row r="5" spans="1:4" x14ac:dyDescent="0.2">
      <c r="B5" t="s">
        <v>698</v>
      </c>
      <c r="C5" s="179">
        <f>IF('DOE25'!G665+'DOE25'!G670=0,0,ROUND('DOE25'!G672,0))</f>
        <v>15960</v>
      </c>
    </row>
    <row r="6" spans="1:4" x14ac:dyDescent="0.2">
      <c r="B6" t="s">
        <v>62</v>
      </c>
      <c r="C6" s="179">
        <f>IF('DOE25'!H665+'DOE25'!H670=0,0,ROUND('DOE25'!H672,0))</f>
        <v>18403</v>
      </c>
    </row>
    <row r="7" spans="1:4" x14ac:dyDescent="0.2">
      <c r="B7" t="s">
        <v>699</v>
      </c>
      <c r="C7" s="179">
        <f>IF('DOE25'!I665+'DOE25'!I670=0,0,ROUND('DOE25'!I672,0))</f>
        <v>16679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8567922</v>
      </c>
      <c r="D10" s="182">
        <f>ROUND((C10/$C$28)*100,1)</f>
        <v>37.6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5581012</v>
      </c>
      <c r="D11" s="182">
        <f>ROUND((C11/$C$28)*100,1)</f>
        <v>24.5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173338</v>
      </c>
      <c r="D12" s="182">
        <f>ROUND((C12/$C$28)*100,1)</f>
        <v>0.8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479961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1233715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861793</v>
      </c>
      <c r="D16" s="182">
        <f t="shared" si="0"/>
        <v>3.8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782839</v>
      </c>
      <c r="D17" s="182">
        <f t="shared" si="0"/>
        <v>3.4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1381939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225650</v>
      </c>
      <c r="D19" s="182">
        <f t="shared" si="0"/>
        <v>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1806239</v>
      </c>
      <c r="D20" s="182">
        <f t="shared" si="0"/>
        <v>7.9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959371</v>
      </c>
      <c r="D21" s="182">
        <f t="shared" si="0"/>
        <v>4.2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19802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450757</v>
      </c>
      <c r="D25" s="182">
        <f t="shared" si="0"/>
        <v>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259731.37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22784069.370000001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20712</v>
      </c>
    </row>
    <row r="30" spans="1:4" x14ac:dyDescent="0.2">
      <c r="B30" s="187" t="s">
        <v>723</v>
      </c>
      <c r="C30" s="180">
        <f>SUM(C28:C29)</f>
        <v>22804781.370000001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697893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13670518</v>
      </c>
      <c r="D35" s="182">
        <f t="shared" ref="D35:D40" si="1">ROUND((C35/$C$41)*100,1)</f>
        <v>59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228905.38000000082</v>
      </c>
      <c r="D36" s="182">
        <f t="shared" si="1"/>
        <v>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7297719</v>
      </c>
      <c r="D37" s="182">
        <f t="shared" si="1"/>
        <v>31.5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604042</v>
      </c>
      <c r="D38" s="182">
        <f t="shared" si="1"/>
        <v>2.6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1384837</v>
      </c>
      <c r="D39" s="182">
        <f t="shared" si="1"/>
        <v>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23186021.380000003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6" sqref="C16:M1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Raymond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2</v>
      </c>
      <c r="B4" s="219">
        <v>3</v>
      </c>
      <c r="C4" s="285" t="s">
        <v>920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24</v>
      </c>
      <c r="C6" s="285" t="s">
        <v>921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4</v>
      </c>
      <c r="B8" s="219">
        <v>4</v>
      </c>
      <c r="C8" s="285" t="s">
        <v>922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6</v>
      </c>
      <c r="B10" s="219">
        <v>8</v>
      </c>
      <c r="C10" s="285" t="s">
        <v>928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10</v>
      </c>
      <c r="B12" s="219">
        <v>6</v>
      </c>
      <c r="C12" s="285" t="s">
        <v>923</v>
      </c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 t="s">
        <v>924</v>
      </c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14</v>
      </c>
      <c r="B15" s="219">
        <v>10</v>
      </c>
      <c r="C15" s="285" t="s">
        <v>929</v>
      </c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17</v>
      </c>
      <c r="B17" s="219">
        <v>13</v>
      </c>
      <c r="C17" s="285" t="s">
        <v>925</v>
      </c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 t="s">
        <v>926</v>
      </c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>
        <v>19</v>
      </c>
      <c r="B20" s="219">
        <v>6</v>
      </c>
      <c r="C20" s="285" t="s">
        <v>918</v>
      </c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 t="s">
        <v>919</v>
      </c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>
        <v>23</v>
      </c>
      <c r="B23" s="219">
        <v>7</v>
      </c>
      <c r="C23" s="285" t="s">
        <v>927</v>
      </c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2018-11-29T13:00:59Z</cp:lastPrinted>
  <dcterms:created xsi:type="dcterms:W3CDTF">1997-12-04T19:04:30Z</dcterms:created>
  <dcterms:modified xsi:type="dcterms:W3CDTF">2018-12-03T19:53:58Z</dcterms:modified>
</cp:coreProperties>
</file>