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19200" windowHeight="646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D9" i="13"/>
  <c r="C20" i="12"/>
  <c r="C19" i="12"/>
  <c r="B20" i="12"/>
  <c r="B19" i="12"/>
  <c r="C10" i="12"/>
  <c r="C11" i="12"/>
  <c r="C12" i="12"/>
  <c r="B11" i="12"/>
  <c r="B10" i="12"/>
  <c r="F465" i="1"/>
  <c r="F9" i="1"/>
  <c r="H604" i="1"/>
  <c r="H282" i="1"/>
  <c r="H281" i="1"/>
  <c r="J276" i="1"/>
  <c r="H197" i="1"/>
  <c r="G197" i="1"/>
  <c r="G611" i="1"/>
  <c r="J591" i="1"/>
  <c r="I591" i="1"/>
  <c r="G526" i="1"/>
  <c r="H526" i="1"/>
  <c r="G97" i="1"/>
  <c r="H12" i="1"/>
  <c r="G22" i="1"/>
  <c r="F24" i="1"/>
  <c r="F12" i="1"/>
  <c r="J207" i="1"/>
  <c r="I207" i="1"/>
  <c r="I204" i="1"/>
  <c r="I203" i="1"/>
  <c r="H208" i="1"/>
  <c r="H244" i="1"/>
  <c r="H234" i="1"/>
  <c r="H233" i="1"/>
  <c r="H226" i="1"/>
  <c r="H216" i="1"/>
  <c r="H207" i="1"/>
  <c r="H204" i="1"/>
  <c r="H202" i="1"/>
  <c r="H198" i="1"/>
  <c r="G220" i="1"/>
  <c r="G238" i="1"/>
  <c r="G234" i="1"/>
  <c r="G216" i="1"/>
  <c r="G207" i="1"/>
  <c r="G204" i="1"/>
  <c r="G202" i="1"/>
  <c r="G198" i="1"/>
  <c r="F198" i="1"/>
  <c r="F202" i="1"/>
  <c r="F204" i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40" i="1"/>
  <c r="C17" i="10"/>
  <c r="D39" i="13"/>
  <c r="F13" i="13"/>
  <c r="G13" i="13"/>
  <c r="L206" i="1"/>
  <c r="L224" i="1"/>
  <c r="L242" i="1"/>
  <c r="F16" i="13"/>
  <c r="G16" i="13"/>
  <c r="E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D14" i="13"/>
  <c r="C14" i="13"/>
  <c r="L243" i="1"/>
  <c r="F15" i="13"/>
  <c r="G15" i="13"/>
  <c r="L208" i="1"/>
  <c r="F662" i="1"/>
  <c r="L226" i="1"/>
  <c r="L244" i="1"/>
  <c r="F17" i="13"/>
  <c r="G17" i="13"/>
  <c r="D17" i="13"/>
  <c r="C17" i="13"/>
  <c r="L251" i="1"/>
  <c r="F18" i="13"/>
  <c r="G18" i="13"/>
  <c r="L252" i="1"/>
  <c r="C114" i="2"/>
  <c r="F19" i="13"/>
  <c r="G19" i="13"/>
  <c r="L253" i="1"/>
  <c r="F29" i="13"/>
  <c r="G29" i="13"/>
  <c r="L358" i="1"/>
  <c r="L359" i="1"/>
  <c r="L360" i="1"/>
  <c r="F661" i="1"/>
  <c r="I367" i="1"/>
  <c r="J290" i="1"/>
  <c r="J309" i="1"/>
  <c r="J328" i="1"/>
  <c r="K290" i="1"/>
  <c r="K309" i="1"/>
  <c r="K328" i="1"/>
  <c r="L276" i="1"/>
  <c r="E109" i="2"/>
  <c r="L277" i="1"/>
  <c r="E110" i="2"/>
  <c r="L278" i="1"/>
  <c r="L279" i="1"/>
  <c r="L281" i="1"/>
  <c r="L282" i="1"/>
  <c r="E119" i="2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H25" i="13"/>
  <c r="L341" i="1"/>
  <c r="L342" i="1"/>
  <c r="L255" i="1"/>
  <c r="L336" i="1"/>
  <c r="E130" i="2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/>
  <c r="L611" i="1"/>
  <c r="F663" i="1"/>
  <c r="C40" i="10"/>
  <c r="F60" i="1"/>
  <c r="C56" i="2"/>
  <c r="G60" i="1"/>
  <c r="D56" i="2"/>
  <c r="H60" i="1"/>
  <c r="I60" i="1"/>
  <c r="F79" i="1"/>
  <c r="C57" i="2"/>
  <c r="F94" i="1"/>
  <c r="C58" i="2"/>
  <c r="F111" i="1"/>
  <c r="G111" i="1"/>
  <c r="H79" i="1"/>
  <c r="E57" i="2"/>
  <c r="H94" i="1"/>
  <c r="E58" i="2"/>
  <c r="H111" i="1"/>
  <c r="I111" i="1"/>
  <c r="I112" i="1"/>
  <c r="J111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/>
  <c r="G147" i="1"/>
  <c r="D85" i="2"/>
  <c r="G162" i="1"/>
  <c r="H147" i="1"/>
  <c r="H162" i="1"/>
  <c r="H169" i="1" s="1"/>
  <c r="I147" i="1"/>
  <c r="I162" i="1"/>
  <c r="L250" i="1"/>
  <c r="L332" i="1"/>
  <c r="E113" i="2"/>
  <c r="L254" i="1"/>
  <c r="C25" i="10"/>
  <c r="L268" i="1"/>
  <c r="L269" i="1"/>
  <c r="L349" i="1"/>
  <c r="L350" i="1"/>
  <c r="E143" i="2"/>
  <c r="I665" i="1"/>
  <c r="I667" i="1" s="1"/>
  <c r="I670" i="1"/>
  <c r="I669" i="1"/>
  <c r="C42" i="10"/>
  <c r="L374" i="1"/>
  <c r="L375" i="1"/>
  <c r="F130" i="2"/>
  <c r="F144" i="2" s="1"/>
  <c r="F145" i="2" s="1"/>
  <c r="L376" i="1"/>
  <c r="L377" i="1"/>
  <c r="L378" i="1"/>
  <c r="L379" i="1"/>
  <c r="L380" i="1"/>
  <c r="B2" i="10"/>
  <c r="L344" i="1"/>
  <c r="L345" i="1"/>
  <c r="E135" i="2"/>
  <c r="L346" i="1"/>
  <c r="L347" i="1"/>
  <c r="K351" i="1"/>
  <c r="L521" i="1"/>
  <c r="F549" i="1"/>
  <c r="L522" i="1"/>
  <c r="F550" i="1"/>
  <c r="L523" i="1"/>
  <c r="F551" i="1"/>
  <c r="L526" i="1"/>
  <c r="G549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L537" i="1"/>
  <c r="I550" i="1"/>
  <c r="L538" i="1"/>
  <c r="I551" i="1"/>
  <c r="L541" i="1"/>
  <c r="J549" i="1"/>
  <c r="L542" i="1"/>
  <c r="J550" i="1"/>
  <c r="L543" i="1"/>
  <c r="J551" i="1"/>
  <c r="J552" i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G22" i="2"/>
  <c r="C23" i="2"/>
  <c r="D23" i="2"/>
  <c r="E23" i="2"/>
  <c r="E31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E56" i="2"/>
  <c r="F56" i="2"/>
  <c r="C59" i="2"/>
  <c r="D59" i="2"/>
  <c r="D62" i="2"/>
  <c r="E59" i="2"/>
  <c r="F59" i="2"/>
  <c r="D60" i="2"/>
  <c r="C61" i="2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F78" i="2"/>
  <c r="F81" i="2"/>
  <c r="C73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C79" i="2"/>
  <c r="D79" i="2"/>
  <c r="E79" i="2"/>
  <c r="C80" i="2"/>
  <c r="E80" i="2"/>
  <c r="C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1" i="2"/>
  <c r="C112" i="2"/>
  <c r="E112" i="2"/>
  <c r="C113" i="2"/>
  <c r="D115" i="2"/>
  <c r="F115" i="2"/>
  <c r="G115" i="2"/>
  <c r="C119" i="2"/>
  <c r="E120" i="2"/>
  <c r="C123" i="2"/>
  <c r="E123" i="2"/>
  <c r="E124" i="2"/>
  <c r="E125" i="2"/>
  <c r="F128" i="2"/>
  <c r="G128" i="2"/>
  <c r="C130" i="2"/>
  <c r="D134" i="2"/>
  <c r="D144" i="2"/>
  <c r="E134" i="2"/>
  <c r="F134" i="2"/>
  <c r="K419" i="1"/>
  <c r="K427" i="1"/>
  <c r="K433" i="1"/>
  <c r="L263" i="1"/>
  <c r="C135" i="2"/>
  <c r="L264" i="1"/>
  <c r="C136" i="2"/>
  <c r="L265" i="1"/>
  <c r="C137" i="2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617" i="1"/>
  <c r="G19" i="1"/>
  <c r="G618" i="1"/>
  <c r="H19" i="1"/>
  <c r="G619" i="1"/>
  <c r="I19" i="1"/>
  <c r="G620" i="1"/>
  <c r="F32" i="1"/>
  <c r="F52" i="1"/>
  <c r="H617" i="1"/>
  <c r="G32" i="1"/>
  <c r="G52" i="1"/>
  <c r="H618" i="1"/>
  <c r="H32" i="1"/>
  <c r="I32" i="1"/>
  <c r="H51" i="1"/>
  <c r="G624" i="1"/>
  <c r="I51" i="1"/>
  <c r="G625" i="1"/>
  <c r="F177" i="1"/>
  <c r="I177" i="1"/>
  <c r="F183" i="1"/>
  <c r="G183" i="1"/>
  <c r="G192" i="1"/>
  <c r="H183" i="1"/>
  <c r="I183" i="1"/>
  <c r="J183" i="1"/>
  <c r="J192" i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F401" i="1"/>
  <c r="G401" i="1"/>
  <c r="H401" i="1"/>
  <c r="I401" i="1"/>
  <c r="F407" i="1"/>
  <c r="F408" i="1"/>
  <c r="H643" i="1"/>
  <c r="G407" i="1"/>
  <c r="H407" i="1"/>
  <c r="I407" i="1"/>
  <c r="G408" i="1"/>
  <c r="H645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/>
  <c r="G446" i="1"/>
  <c r="G640" i="1"/>
  <c r="H446" i="1"/>
  <c r="G641" i="1"/>
  <c r="F452" i="1"/>
  <c r="G452" i="1"/>
  <c r="H452" i="1"/>
  <c r="F460" i="1"/>
  <c r="G460" i="1"/>
  <c r="H460" i="1"/>
  <c r="G470" i="1"/>
  <c r="H470" i="1"/>
  <c r="I470" i="1"/>
  <c r="I476" i="1"/>
  <c r="H625" i="1"/>
  <c r="J470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J571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8" i="1"/>
  <c r="H629" i="1"/>
  <c r="H630" i="1"/>
  <c r="H631" i="1"/>
  <c r="H633" i="1"/>
  <c r="H635" i="1"/>
  <c r="H636" i="1"/>
  <c r="H637" i="1"/>
  <c r="H638" i="1"/>
  <c r="G643" i="1"/>
  <c r="G644" i="1"/>
  <c r="G650" i="1"/>
  <c r="G651" i="1"/>
  <c r="G652" i="1"/>
  <c r="H652" i="1"/>
  <c r="G653" i="1"/>
  <c r="H653" i="1"/>
  <c r="G654" i="1"/>
  <c r="H654" i="1"/>
  <c r="H655" i="1"/>
  <c r="J655" i="1"/>
  <c r="G164" i="2"/>
  <c r="C26" i="10"/>
  <c r="L351" i="1"/>
  <c r="C70" i="2"/>
  <c r="D7" i="13"/>
  <c r="C7" i="13"/>
  <c r="D19" i="13"/>
  <c r="C19" i="13"/>
  <c r="E78" i="2"/>
  <c r="D81" i="2"/>
  <c r="I169" i="1"/>
  <c r="J140" i="1"/>
  <c r="I552" i="1"/>
  <c r="H140" i="1"/>
  <c r="G36" i="2"/>
  <c r="K551" i="1"/>
  <c r="D50" i="2"/>
  <c r="A31" i="12"/>
  <c r="H408" i="1"/>
  <c r="H644" i="1"/>
  <c r="J644" i="1"/>
  <c r="G645" i="1"/>
  <c r="L614" i="1"/>
  <c r="K605" i="1"/>
  <c r="G648" i="1"/>
  <c r="K598" i="1"/>
  <c r="G647" i="1"/>
  <c r="J651" i="1"/>
  <c r="L570" i="1"/>
  <c r="K571" i="1"/>
  <c r="I571" i="1"/>
  <c r="L565" i="1"/>
  <c r="L571" i="1"/>
  <c r="H571" i="1"/>
  <c r="L560" i="1"/>
  <c r="F571" i="1"/>
  <c r="H552" i="1"/>
  <c r="L534" i="1"/>
  <c r="K550" i="1"/>
  <c r="F552" i="1"/>
  <c r="I545" i="1"/>
  <c r="G545" i="1"/>
  <c r="K545" i="1"/>
  <c r="G552" i="1"/>
  <c r="J545" i="1"/>
  <c r="L529" i="1"/>
  <c r="K549" i="1"/>
  <c r="H545" i="1"/>
  <c r="G161" i="2"/>
  <c r="G157" i="2"/>
  <c r="J476" i="1"/>
  <c r="H626" i="1"/>
  <c r="H476" i="1"/>
  <c r="H624" i="1"/>
  <c r="G476" i="1"/>
  <c r="H623" i="1"/>
  <c r="J623" i="1"/>
  <c r="F461" i="1"/>
  <c r="H639" i="1"/>
  <c r="H461" i="1"/>
  <c r="H641" i="1"/>
  <c r="I460" i="1"/>
  <c r="G461" i="1"/>
  <c r="H640" i="1"/>
  <c r="J640" i="1"/>
  <c r="J641" i="1"/>
  <c r="I452" i="1"/>
  <c r="I446" i="1"/>
  <c r="G642" i="1"/>
  <c r="L433" i="1"/>
  <c r="L427" i="1"/>
  <c r="L419" i="1"/>
  <c r="I408" i="1"/>
  <c r="L401" i="1"/>
  <c r="C139" i="2"/>
  <c r="J645" i="1"/>
  <c r="L393" i="1"/>
  <c r="C138" i="2"/>
  <c r="J643" i="1"/>
  <c r="L382" i="1"/>
  <c r="G636" i="1"/>
  <c r="J636" i="1"/>
  <c r="I369" i="1"/>
  <c r="H634" i="1"/>
  <c r="J634" i="1"/>
  <c r="D127" i="2"/>
  <c r="D128" i="2"/>
  <c r="L362" i="1"/>
  <c r="H661" i="1"/>
  <c r="D29" i="13"/>
  <c r="C29" i="13"/>
  <c r="G661" i="1"/>
  <c r="I661" i="1"/>
  <c r="E121" i="2"/>
  <c r="L328" i="1"/>
  <c r="H338" i="1"/>
  <c r="H352" i="1"/>
  <c r="J338" i="1"/>
  <c r="J352" i="1"/>
  <c r="C18" i="10"/>
  <c r="E114" i="2"/>
  <c r="E115" i="2"/>
  <c r="G338" i="1"/>
  <c r="G352" i="1"/>
  <c r="F22" i="13"/>
  <c r="C22" i="13"/>
  <c r="C29" i="10"/>
  <c r="H662" i="1"/>
  <c r="E118" i="2"/>
  <c r="C10" i="10"/>
  <c r="F338" i="1"/>
  <c r="F352" i="1"/>
  <c r="E122" i="2"/>
  <c r="L309" i="1"/>
  <c r="L256" i="1"/>
  <c r="D18" i="13"/>
  <c r="C18" i="13"/>
  <c r="K257" i="1"/>
  <c r="K271" i="1"/>
  <c r="C21" i="10"/>
  <c r="C125" i="2"/>
  <c r="D12" i="13"/>
  <c r="C12" i="13"/>
  <c r="C121" i="2"/>
  <c r="L247" i="1"/>
  <c r="E8" i="13"/>
  <c r="C8" i="13"/>
  <c r="C120" i="2"/>
  <c r="J257" i="1"/>
  <c r="J271" i="1"/>
  <c r="C110" i="2"/>
  <c r="C25" i="13"/>
  <c r="H33" i="13"/>
  <c r="C132" i="2"/>
  <c r="C32" i="10"/>
  <c r="G62" i="2"/>
  <c r="J112" i="1"/>
  <c r="E103" i="2"/>
  <c r="H192" i="1"/>
  <c r="D91" i="2"/>
  <c r="E81" i="2"/>
  <c r="E62" i="2"/>
  <c r="E63" i="2"/>
  <c r="H112" i="1"/>
  <c r="F192" i="1"/>
  <c r="C91" i="2"/>
  <c r="C35" i="10"/>
  <c r="F112" i="1"/>
  <c r="J625" i="1"/>
  <c r="I52" i="1"/>
  <c r="H620" i="1"/>
  <c r="F18" i="2"/>
  <c r="J624" i="1"/>
  <c r="H52" i="1"/>
  <c r="H619" i="1"/>
  <c r="J619" i="1"/>
  <c r="D31" i="2"/>
  <c r="D18" i="2"/>
  <c r="J617" i="1"/>
  <c r="C18" i="2"/>
  <c r="D145" i="2"/>
  <c r="K338" i="1"/>
  <c r="K352" i="1"/>
  <c r="C16" i="10"/>
  <c r="C19" i="10"/>
  <c r="C15" i="10"/>
  <c r="L290" i="1"/>
  <c r="I257" i="1"/>
  <c r="I271" i="1"/>
  <c r="A40" i="12"/>
  <c r="C13" i="10"/>
  <c r="C111" i="2"/>
  <c r="L229" i="1"/>
  <c r="H257" i="1"/>
  <c r="H271" i="1"/>
  <c r="G257" i="1"/>
  <c r="G271" i="1"/>
  <c r="C20" i="10"/>
  <c r="D5" i="13"/>
  <c r="C5" i="13"/>
  <c r="C11" i="10"/>
  <c r="F257" i="1"/>
  <c r="F271" i="1"/>
  <c r="G649" i="1"/>
  <c r="J649" i="1"/>
  <c r="H647" i="1"/>
  <c r="C124" i="2"/>
  <c r="E13" i="13"/>
  <c r="C13" i="13"/>
  <c r="C122" i="2"/>
  <c r="C118" i="2"/>
  <c r="C12" i="10"/>
  <c r="A13" i="12"/>
  <c r="J639" i="1"/>
  <c r="D63" i="2"/>
  <c r="K500" i="1"/>
  <c r="C78" i="2"/>
  <c r="C81" i="2"/>
  <c r="L211" i="1"/>
  <c r="G81" i="2"/>
  <c r="C62" i="2"/>
  <c r="C63" i="2"/>
  <c r="G662" i="1"/>
  <c r="G112" i="1"/>
  <c r="C16" i="13"/>
  <c r="K503" i="1"/>
  <c r="D6" i="13"/>
  <c r="C6" i="13"/>
  <c r="D15" i="13"/>
  <c r="C15" i="13"/>
  <c r="L544" i="1"/>
  <c r="L524" i="1"/>
  <c r="L337" i="1"/>
  <c r="F62" i="2"/>
  <c r="F63" i="2"/>
  <c r="C23" i="10"/>
  <c r="G163" i="2"/>
  <c r="G162" i="2"/>
  <c r="G160" i="2"/>
  <c r="G159" i="2"/>
  <c r="G158" i="2"/>
  <c r="G103" i="2"/>
  <c r="F103" i="2"/>
  <c r="C103" i="2"/>
  <c r="F91" i="2"/>
  <c r="E50" i="2"/>
  <c r="E51" i="2"/>
  <c r="C50" i="2"/>
  <c r="F31" i="2"/>
  <c r="C31" i="2"/>
  <c r="E18" i="2"/>
  <c r="E144" i="2"/>
  <c r="F50" i="2"/>
  <c r="C24" i="10"/>
  <c r="G31" i="13"/>
  <c r="G33" i="13"/>
  <c r="I338" i="1"/>
  <c r="I352" i="1"/>
  <c r="J650" i="1"/>
  <c r="L407" i="1"/>
  <c r="C140" i="2"/>
  <c r="I192" i="1"/>
  <c r="E91" i="2"/>
  <c r="E104" i="2" s="1"/>
  <c r="D51" i="2"/>
  <c r="J654" i="1"/>
  <c r="J653" i="1"/>
  <c r="G21" i="2"/>
  <c r="G31" i="2"/>
  <c r="J32" i="1"/>
  <c r="J434" i="1"/>
  <c r="F434" i="1"/>
  <c r="K434" i="1"/>
  <c r="G134" i="2"/>
  <c r="G144" i="2"/>
  <c r="G145" i="2"/>
  <c r="F31" i="13"/>
  <c r="F33" i="13"/>
  <c r="J193" i="1"/>
  <c r="G646" i="1"/>
  <c r="G169" i="1"/>
  <c r="G140" i="1"/>
  <c r="F140" i="1"/>
  <c r="G63" i="2"/>
  <c r="J618" i="1"/>
  <c r="G42" i="2"/>
  <c r="G50" i="2"/>
  <c r="J51" i="1"/>
  <c r="G16" i="2"/>
  <c r="G18" i="2"/>
  <c r="J19" i="1"/>
  <c r="G621" i="1"/>
  <c r="F545" i="1"/>
  <c r="H434" i="1"/>
  <c r="J620" i="1"/>
  <c r="D103" i="2"/>
  <c r="I140" i="1"/>
  <c r="A22" i="12"/>
  <c r="J652" i="1"/>
  <c r="G571" i="1"/>
  <c r="I434" i="1"/>
  <c r="G434" i="1"/>
  <c r="I663" i="1"/>
  <c r="C27" i="10"/>
  <c r="G635" i="1"/>
  <c r="J635" i="1"/>
  <c r="J647" i="1"/>
  <c r="K552" i="1"/>
  <c r="I461" i="1"/>
  <c r="H642" i="1"/>
  <c r="J642" i="1"/>
  <c r="G51" i="2"/>
  <c r="L434" i="1"/>
  <c r="G638" i="1"/>
  <c r="J638" i="1"/>
  <c r="C141" i="2"/>
  <c r="C144" i="2"/>
  <c r="H648" i="1"/>
  <c r="J648" i="1"/>
  <c r="H660" i="1"/>
  <c r="H664" i="1"/>
  <c r="H667" i="1"/>
  <c r="G660" i="1"/>
  <c r="G664" i="1"/>
  <c r="G667" i="1"/>
  <c r="E128" i="2"/>
  <c r="E145" i="2"/>
  <c r="I662" i="1"/>
  <c r="C115" i="2"/>
  <c r="F104" i="2"/>
  <c r="I193" i="1"/>
  <c r="G630" i="1"/>
  <c r="J630" i="1"/>
  <c r="G104" i="2"/>
  <c r="D104" i="2"/>
  <c r="F193" i="1"/>
  <c r="C104" i="2"/>
  <c r="C36" i="10"/>
  <c r="F51" i="2"/>
  <c r="D31" i="13"/>
  <c r="C31" i="13"/>
  <c r="L338" i="1"/>
  <c r="L352" i="1"/>
  <c r="G633" i="1"/>
  <c r="J633" i="1"/>
  <c r="L257" i="1"/>
  <c r="L271" i="1"/>
  <c r="C128" i="2"/>
  <c r="E33" i="13"/>
  <c r="D35" i="13"/>
  <c r="C28" i="10"/>
  <c r="D24" i="10"/>
  <c r="F660" i="1"/>
  <c r="L408" i="1"/>
  <c r="L545" i="1"/>
  <c r="C51" i="2"/>
  <c r="G631" i="1"/>
  <c r="J631" i="1"/>
  <c r="G193" i="1"/>
  <c r="G628" i="1"/>
  <c r="J628" i="1"/>
  <c r="G626" i="1"/>
  <c r="J626" i="1"/>
  <c r="J52" i="1"/>
  <c r="H621" i="1"/>
  <c r="J621" i="1"/>
  <c r="C38" i="10"/>
  <c r="G632" i="1"/>
  <c r="F472" i="1"/>
  <c r="G627" i="1"/>
  <c r="F468" i="1"/>
  <c r="H672" i="1"/>
  <c r="C6" i="10"/>
  <c r="D33" i="13"/>
  <c r="D36" i="13"/>
  <c r="C145" i="2"/>
  <c r="G672" i="1"/>
  <c r="C5" i="10"/>
  <c r="D10" i="10"/>
  <c r="D23" i="10"/>
  <c r="D13" i="10"/>
  <c r="D18" i="10"/>
  <c r="D27" i="10"/>
  <c r="D26" i="10"/>
  <c r="D20" i="10"/>
  <c r="D11" i="10"/>
  <c r="C30" i="10"/>
  <c r="D15" i="10"/>
  <c r="D25" i="10"/>
  <c r="D17" i="10"/>
  <c r="D21" i="10"/>
  <c r="D12" i="10"/>
  <c r="D16" i="10"/>
  <c r="D19" i="10"/>
  <c r="D22" i="10"/>
  <c r="F664" i="1"/>
  <c r="I660" i="1"/>
  <c r="I664" i="1"/>
  <c r="I672" i="1"/>
  <c r="C7" i="10" s="1"/>
  <c r="G637" i="1"/>
  <c r="J637" i="1"/>
  <c r="H646" i="1"/>
  <c r="J646" i="1"/>
  <c r="H632" i="1"/>
  <c r="J632" i="1"/>
  <c r="F474" i="1"/>
  <c r="H627" i="1"/>
  <c r="F470" i="1"/>
  <c r="J627" i="1"/>
  <c r="D28" i="10"/>
  <c r="F672" i="1"/>
  <c r="C4" i="10" s="1"/>
  <c r="F667" i="1"/>
  <c r="F476" i="1"/>
  <c r="H622" i="1"/>
  <c r="J622" i="1"/>
  <c r="H193" i="1" l="1"/>
  <c r="G629" i="1" s="1"/>
  <c r="C39" i="10"/>
  <c r="J629" i="1" l="1"/>
  <c r="H656" i="1"/>
  <c r="C41" i="10"/>
  <c r="D39" i="10" s="1"/>
  <c r="D37" i="10" l="1"/>
  <c r="D36" i="10"/>
  <c r="D38" i="10"/>
  <c r="D35" i="10"/>
  <c r="D41" i="10" s="1"/>
  <c r="D40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<sst xmlns="http://schemas.openxmlformats.org/spreadsheetml/2006/main" count="3961" uniqueCount="914">
  <si>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</si>
  <si>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</si>
  <si>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</si>
  <si>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</si>
  <si>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</si>
  <si>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</si>
  <si>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</si>
  <si>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</si>
  <si>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</si>
  <si>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</si>
  <si>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</si>
  <si>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</si>
  <si>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</si>
  <si>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</si>
  <si>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</si>
  <si>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</si>
  <si>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</si>
  <si>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</si>
  <si>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</si>
  <si>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</si>
  <si>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</si>
  <si>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</si>
  <si>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</si>
  <si>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</si>
  <si>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</si>
  <si>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</si>
  <si>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</si>
  <si>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</si>
  <si>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</si>
  <si>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</si>
  <si>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</si>
  <si>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</si>
  <si>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</si>
  <si>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</si>
  <si>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</si>
  <si>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</si>
  <si>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</si>
  <si>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</si>
  <si>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</si>
  <si>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</si>
  <si>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</si>
  <si>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</si>
  <si>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</si>
  <si>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</si>
  <si>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</si>
  <si>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</si>
  <si>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</si>
  <si>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</si>
  <si>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</si>
  <si>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</si>
  <si>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</si>
  <si>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</si>
  <si>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</si>
  <si>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</si>
  <si>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</si>
  <si>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</si>
  <si>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</si>
  <si>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</si>
  <si>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</si>
  <si>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</si>
  <si>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</si>
  <si>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</si>
  <si>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</si>
  <si>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</si>
  <si>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</si>
  <si>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</si>
  <si>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</si>
  <si>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</si>
  <si>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</si>
  <si>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</si>
  <si>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</si>
  <si>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</si>
  <si>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</si>
  <si>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</si>
  <si>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</si>
  <si>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</si>
  <si>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</si>
  <si>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</si>
  <si>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</si>
  <si>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</si>
  <si>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</si>
  <si>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</si>
  <si>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</si>
  <si>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</si>
  <si>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</si>
  <si>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</si>
  <si>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</si>
  <si>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</si>
  <si>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</si>
  <si>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</si>
  <si>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</si>
  <si>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</si>
  <si>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</si>
  <si>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</si>
  <si>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</si>
  <si>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</si>
  <si>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</si>
  <si>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</si>
  <si>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</si>
  <si>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</si>
  <si>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</si>
  <si>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</si>
  <si>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</si>
  <si>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</si>
  <si>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</si>
  <si>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</si>
  <si>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</si>
  <si>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</si>
  <si>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</si>
  <si>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</si>
  <si>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</si>
  <si>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</si>
  <si>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</si>
  <si>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</si>
  <si>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</si>
  <si>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</si>
  <si>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</si>
  <si>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</si>
  <si>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</si>
  <si>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</si>
  <si>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</si>
  <si>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</si>
  <si>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</si>
  <si>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</si>
  <si>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</si>
  <si>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</si>
  <si>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</si>
  <si>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</si>
  <si>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</si>
  <si>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</si>
  <si>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</si>
  <si>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</si>
  <si>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</si>
  <si>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</si>
  <si>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</si>
  <si>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</si>
  <si>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</si>
  <si>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</si>
  <si>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</si>
  <si>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</si>
  <si>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</si>
  <si>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</si>
  <si>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</si>
  <si>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</si>
  <si>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</si>
  <si>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</si>
  <si>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</si>
  <si>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</si>
  <si>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</si>
  <si>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</si>
  <si>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</si>
  <si>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</si>
  <si>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</si>
  <si>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</si>
  <si>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</si>
  <si>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</si>
  <si>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</si>
  <si>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</si>
  <si>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</si>
  <si>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</si>
  <si>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</si>
  <si>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</si>
  <si>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</si>
  <si>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</si>
  <si>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</si>
  <si>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</si>
  <si>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</si>
  <si>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</si>
  <si>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</si>
  <si>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</si>
  <si>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</si>
  <si>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</si>
  <si>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</si>
  <si>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</si>
  <si>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</si>
  <si>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</si>
  <si>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</si>
  <si>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</si>
  <si>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</si>
  <si>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</si>
  <si>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</si>
  <si>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</si>
  <si>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</si>
  <si>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</si>
  <si>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</si>
  <si>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</si>
  <si>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</si>
  <si>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</si>
  <si>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</si>
  <si>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</si>
  <si>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</si>
  <si>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</si>
  <si>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</si>
  <si>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</si>
  <si>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</si>
  <si>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</si>
  <si>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</si>
  <si>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</si>
  <si>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</si>
  <si>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</si>
  <si>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</si>
  <si>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</si>
  <si>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</si>
  <si>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</si>
  <si>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</si>
  <si>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</si>
  <si>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</si>
  <si>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</si>
  <si>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</si>
  <si>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</si>
  <si>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</si>
  <si>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</si>
  <si>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</si>
  <si>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</si>
  <si>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</si>
  <si>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</si>
  <si>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</si>
  <si>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</si>
  <si>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</si>
  <si>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</si>
  <si>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</si>
  <si>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</si>
  <si>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</si>
  <si>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</si>
  <si>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</si>
  <si>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</si>
  <si>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</si>
  <si>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</si>
  <si>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</si>
  <si>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</si>
  <si>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</si>
  <si>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</si>
  <si>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</si>
  <si>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</si>
  <si>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</si>
  <si>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</si>
  <si>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</si>
  <si>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</si>
  <si>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</si>
  <si>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</si>
  <si>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</si>
  <si>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</si>
  <si>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</si>
  <si>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</si>
  <si>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</si>
  <si>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</si>
  <si>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</si>
  <si>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</si>
  <si>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</si>
  <si>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</si>
  <si>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</si>
  <si>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</si>
  <si>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</si>
  <si>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</si>
  <si>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</si>
  <si>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</si>
  <si>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</si>
  <si>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</si>
  <si>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</si>
  <si>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</si>
  <si>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</si>
  <si>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</si>
  <si>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</si>
  <si>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</si>
  <si>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</si>
  <si>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</si>
  <si>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</si>
  <si>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</si>
  <si>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</si>
  <si>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</si>
  <si>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</si>
  <si>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</si>
  <si>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</si>
  <si>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</si>
  <si>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</si>
  <si>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</si>
  <si>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</si>
  <si>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</si>
  <si>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</si>
  <si>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</si>
  <si>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</si>
  <si>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</si>
  <si>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</si>
  <si>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</si>
  <si>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</si>
  <si>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</si>
  <si>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</si>
  <si>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</si>
  <si>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</si>
  <si>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</si>
  <si>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</si>
  <si>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</si>
  <si>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</si>
  <si>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</si>
  <si>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</si>
  <si>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</si>
  <si>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</si>
  <si>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</si>
  <si>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</si>
  <si>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</si>
  <si>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</si>
  <si>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</si>
  <si>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</si>
  <si>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</si>
  <si>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</si>
  <si>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</si>
  <si>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</si>
  <si>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</si>
  <si>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</si>
  <si>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</si>
  <si>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</si>
  <si>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</si>
  <si>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</si>
  <si>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</si>
  <si>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</si>
  <si>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</si>
  <si>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</si>
  <si>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</si>
  <si>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</si>
  <si>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</si>
  <si>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</si>
  <si>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</si>
  <si>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</si>
  <si>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</si>
  <si>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</si>
  <si>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</si>
  <si>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</si>
  <si>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</si>
  <si>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</si>
  <si>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</si>
  <si>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</si>
  <si>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</si>
  <si>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</si>
  <si>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</si>
  <si>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</si>
  <si>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</si>
  <si>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</si>
  <si>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</si>
  <si>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</si>
  <si>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</si>
  <si>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</si>
  <si>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</si>
  <si>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</si>
  <si>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</si>
  <si>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</si>
  <si>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</si>
  <si>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</si>
  <si>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</si>
  <si>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</si>
  <si>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</si>
  <si>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</si>
  <si>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</si>
  <si>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</si>
  <si>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</si>
  <si>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</si>
  <si>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</si>
  <si>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</si>
  <si>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</si>
  <si>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</si>
  <si>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</si>
  <si>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</si>
  <si>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</si>
  <si>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</si>
  <si>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</si>
  <si>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</si>
  <si>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</si>
  <si>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</si>
  <si>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</si>
  <si>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</si>
  <si>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</si>
  <si>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</si>
  <si>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</si>
  <si>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</si>
  <si>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</si>
  <si>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</si>
  <si>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</si>
  <si>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</si>
  <si>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</si>
  <si>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</si>
  <si>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</si>
  <si>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</si>
  <si>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</si>
  <si>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</si>
  <si>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</si>
  <si>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</si>
  <si>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</si>
  <si>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</si>
  <si>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</si>
  <si>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</si>
  <si>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</si>
  <si>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</si>
  <si>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</si>
  <si>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</si>
  <si>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</si>
  <si>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</si>
  <si>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</si>
  <si>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</si>
  <si>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</si>
  <si>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</si>
  <si>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</si>
  <si>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</si>
  <si>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</si>
  <si>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</si>
  <si>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</si>
  <si>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</si>
  <si>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</si>
  <si>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</si>
  <si>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</si>
  <si>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</si>
  <si>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</si>
  <si>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</si>
  <si>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</si>
  <si>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</si>
  <si>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</si>
  <si>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</si>
  <si>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</si>
  <si>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</si>
  <si>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</si>
  <si>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</si>
  <si>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</si>
  <si>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</si>
  <si>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</si>
  <si>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</si>
  <si>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</si>
  <si>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</si>
  <si>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</si>
  <si>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</si>
  <si>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</si>
  <si>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</si>
  <si>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</si>
  <si>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</si>
  <si>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</si>
  <si>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</si>
  <si>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</si>
  <si>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</si>
  <si>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</si>
  <si>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</si>
  <si>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</si>
  <si>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</si>
  <si>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</si>
  <si>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</si>
  <si>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</si>
  <si>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</si>
  <si>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</si>
  <si>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</si>
  <si>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</si>
  <si>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</si>
  <si>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</si>
  <si>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</si>
  <si>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</si>
  <si>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</si>
  <si>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</si>
  <si>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</si>
  <si>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</si>
  <si>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</si>
  <si>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</si>
  <si>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</si>
  <si>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</si>
  <si>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</si>
  <si>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</si>
  <si>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</si>
  <si>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</si>
  <si>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</si>
  <si>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</si>
  <si>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</si>
  <si>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</si>
  <si>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</si>
  <si>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</si>
  <si>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</si>
  <si>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</si>
  <si>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</si>
  <si>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</si>
  <si>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</si>
  <si>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</si>
  <si>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</si>
  <si>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</si>
  <si>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</si>
  <si>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</si>
  <si>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</si>
  <si>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</si>
  <si>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</si>
  <si>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</si>
  <si>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</si>
  <si>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</si>
  <si>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</si>
  <si>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</si>
  <si>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</si>
  <si>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</si>
  <si>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</si>
  <si>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</si>
  <si>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</si>
  <si>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</si>
  <si>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</si>
  <si>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</si>
  <si>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</si>
  <si>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</si>
  <si>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</si>
  <si>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</si>
  <si>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</si>
  <si>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</si>
  <si>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</si>
  <si>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</si>
  <si>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</si>
  <si>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</si>
  <si>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</si>
  <si>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</si>
  <si>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</si>
  <si>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</si>
  <si>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</si>
  <si>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</si>
  <si>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</si>
  <si>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</si>
  <si>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</si>
  <si>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</si>
  <si>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</si>
  <si>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</si>
  <si>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</si>
  <si>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</si>
  <si>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</si>
  <si>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</si>
  <si>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</si>
  <si>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</si>
  <si>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</si>
  <si>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</si>
  <si>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</si>
  <si>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</si>
  <si>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</si>
  <si>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</si>
  <si>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</si>
  <si>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</si>
  <si>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</si>
  <si>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</si>
  <si>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</si>
  <si>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</si>
  <si>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</si>
  <si>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</si>
  <si>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</si>
  <si>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</si>
  <si>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</si>
  <si>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</si>
  <si>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</si>
  <si>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</si>
  <si>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</si>
  <si>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</si>
  <si>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</si>
  <si>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</si>
  <si>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</si>
  <si>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</si>
  <si>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</si>
  <si>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</si>
  <si>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</si>
  <si>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</si>
  <si>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</si>
  <si>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</si>
  <si>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</si>
  <si>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</si>
  <si>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</si>
  <si>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</si>
  <si>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</si>
  <si>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</si>
  <si>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</si>
  <si>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</si>
  <si>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</si>
  <si>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</si>
  <si>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</si>
  <si>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</si>
  <si>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</si>
  <si>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</si>
  <si>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</si>
  <si>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</si>
  <si>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</si>
  <si>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</si>
  <si>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</si>
  <si>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</si>
  <si>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</si>
  <si>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</si>
  <si>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</si>
  <si>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</si>
  <si>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</si>
  <si>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</si>
  <si>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</si>
  <si>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</si>
  <si>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</si>
  <si>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</si>
  <si>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</si>
  <si>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</si>
  <si>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</si>
  <si>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</si>
  <si>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</si>
  <si>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</si>
  <si>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</si>
  <si>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</si>
  <si>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</si>
  <si>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</si>
  <si>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</si>
  <si>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</si>
  <si>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</si>
  <si>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</si>
  <si>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</si>
  <si>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</si>
  <si>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</si>
  <si>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</si>
  <si>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</si>
  <si>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</si>
  <si>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</si>
  <si>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</si>
  <si>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</si>
  <si>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</si>
  <si>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</si>
  <si>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</si>
  <si>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</si>
  <si>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</si>
  <si>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</si>
  <si>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</si>
  <si>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</si>
  <si>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</si>
  <si>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</si>
  <si>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</si>
  <si>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</si>
  <si>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</si>
  <si>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</si>
  <si>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</si>
  <si>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</si>
  <si>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</si>
  <si>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</si>
  <si>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</si>
  <si>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</si>
  <si>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</si>
  <si>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</si>
  <si>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</si>
  <si>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</si>
  <si>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</si>
  <si>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</si>
  <si>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</si>
  <si>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</si>
  <si>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</si>
  <si>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</si>
  <si>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</si>
  <si>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</si>
  <si>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</si>
  <si>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</si>
  <si>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</si>
  <si>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</si>
  <si>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</si>
  <si>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</si>
  <si>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</si>
  <si>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</si>
  <si>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</si>
  <si>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</si>
  <si>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</si>
  <si>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</si>
  <si>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</si>
  <si>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</si>
  <si>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</si>
  <si>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</si>
  <si>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</si>
  <si>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</si>
  <si>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</si>
  <si>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</si>
  <si>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</si>
  <si>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</si>
  <si>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</si>
  <si>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</si>
  <si>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</si>
  <si>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</si>
  <si>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</si>
  <si>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</si>
  <si>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</si>
  <si>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</si>
  <si>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</si>
  <si>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</si>
  <si>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</si>
  <si>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</si>
  <si>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</si>
  <si>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</si>
  <si>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</si>
  <si>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</si>
  <si>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</si>
  <si>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</si>
  <si>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</si>
  <si>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</si>
  <si>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</si>
  <si>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</si>
  <si>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</si>
  <si>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</si>
  <si>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</si>
  <si>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</si>
  <si>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</si>
  <si>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</si>
  <si>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</si>
  <si>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</si>
  <si>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</si>
  <si>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</si>
  <si>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</si>
  <si>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</si>
  <si>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</si>
  <si>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</si>
  <si>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</si>
  <si>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</si>
  <si>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</si>
  <si>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</si>
  <si>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</si>
  <si>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</si>
  <si>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</si>
  <si>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</si>
  <si>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</si>
  <si>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</si>
  <si>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</si>
  <si>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</si>
  <si>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</si>
  <si>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</si>
  <si>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</si>
  <si>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</si>
  <si>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</si>
  <si>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</si>
  <si>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</si>
  <si>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</si>
  <si>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</si>
  <si>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</si>
  <si>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</si>
  <si>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</si>
  <si>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</si>
  <si>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</si>
  <si>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</si>
  <si>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</si>
  <si>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</si>
  <si>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</si>
  <si>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</si>
  <si>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</si>
  <si>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</si>
  <si>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</si>
  <si>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</si>
  <si>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</si>
  <si>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</si>
  <si>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</si>
  <si>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</si>
  <si>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</si>
  <si>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</si>
  <si>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</si>
  <si>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</si>
  <si>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</si>
  <si>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</si>
  <si>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</si>
  <si>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</si>
  <si>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</si>
  <si>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</si>
  <si>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</si>
  <si>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</si>
  <si>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</si>
  <si>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</si>
  <si>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</si>
  <si>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</si>
  <si>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</si>
  <si>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</si>
  <si>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</si>
  <si>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</si>
  <si>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</si>
  <si>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</si>
  <si>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</si>
  <si>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</si>
  <si>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</si>
  <si>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</si>
  <si>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</si>
  <si>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</si>
  <si>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</si>
  <si>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</si>
  <si>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</si>
  <si>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</si>
  <si>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</si>
  <si>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</si>
  <si>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</si>
  <si>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</si>
  <si>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</si>
  <si>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</si>
  <si>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</si>
  <si>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</si>
  <si>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</si>
  <si>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</si>
  <si>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</si>
  <si>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</si>
  <si>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</si>
  <si>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</si>
  <si>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</si>
  <si>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</si>
  <si>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</si>
  <si>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</si>
  <si>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</si>
  <si>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</si>
  <si>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</si>
  <si>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</si>
  <si>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</si>
  <si>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</si>
  <si>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</si>
  <si>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</si>
  <si>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</si>
  <si>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</si>
  <si>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</si>
  <si>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</si>
  <si>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</si>
  <si>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</si>
  <si>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</si>
  <si>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</si>
  <si>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</si>
  <si>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</si>
  <si>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</si>
  <si>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</si>
  <si>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</si>
  <si>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</si>
  <si>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</si>
  <si>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</si>
  <si>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</si>
  <si>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</si>
  <si>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</si>
  <si>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</si>
  <si>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</si>
  <si>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</si>
  <si>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</si>
  <si>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</si>
  <si>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</si>
  <si>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</si>
  <si>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</si>
  <si>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</si>
  <si>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</si>
  <si>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</si>
  <si>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</si>
  <si>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</si>
  <si>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</si>
  <si>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</si>
  <si>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</si>
  <si>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</si>
  <si>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</si>
  <si>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</si>
  <si>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</si>
  <si>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</si>
  <si>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</si>
  <si>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</si>
  <si>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</si>
  <si>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</si>
  <si>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</si>
  <si>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</si>
  <si>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</si>
  <si>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</si>
  <si>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</si>
  <si>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</si>
  <si>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</si>
  <si>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</si>
  <si>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</si>
  <si>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</si>
  <si>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</si>
  <si>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</si>
  <si>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</si>
  <si>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</si>
  <si>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</si>
  <si>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</si>
  <si>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</si>
  <si>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</si>
  <si>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</si>
  <si>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</si>
  <si>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</si>
  <si>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</si>
  <si>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</si>
  <si>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</si>
  <si>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</si>
  <si>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</si>
  <si>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</si>
  <si>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</si>
  <si>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</si>
  <si>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</si>
  <si>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</si>
  <si>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</si>
  <si>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</si>
  <si>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</si>
  <si>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</si>
  <si>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</si>
  <si>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</si>
  <si>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</si>
  <si>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</si>
  <si>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</si>
  <si>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</si>
  <si>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</si>
  <si>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</si>
  <si>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</si>
  <si>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</si>
  <si>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</si>
  <si>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</si>
  <si>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</si>
  <si>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</si>
  <si>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</si>
  <si>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</si>
  <si>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</si>
  <si>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</si>
  <si>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</si>
  <si>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</si>
  <si>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</si>
  <si>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</si>
  <si>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</si>
  <si>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</si>
  <si>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</si>
  <si>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</si>
  <si>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</si>
  <si>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</si>
  <si>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</si>
  <si>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</si>
  <si>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</si>
  <si>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</si>
  <si>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</si>
  <si>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</si>
  <si>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</si>
  <si>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</si>
  <si>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</si>
  <si>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</si>
  <si>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</si>
  <si>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0</t>
  </si>
  <si>
    <t>Rollinsford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</si>
</sst>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570" activePane="bottomRight" state="frozen"/>
      <selection pane="topRight" activeCell="F1" sqref="F1"/>
      <selection pane="bottomLeft" activeCell="A4" sqref="A4"/>
      <selection pane="bottomRight" activeCell="H159" sqref="H159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913</v>
      </c>
      <c r="B2" s="21">
        <v>463</v>
      </c>
      <c r="C2" s="21">
        <v>463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434204.98+2</f>
        <v>434206.98</v>
      </c>
      <c r="G9" s="18">
        <v>0</v>
      </c>
      <c r="H9" s="18">
        <v>0</v>
      </c>
      <c r="I9" s="18">
        <v>0</v>
      </c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1099.1199999999999</v>
      </c>
      <c r="G10" s="18">
        <v>0</v>
      </c>
      <c r="H10" s="18">
        <v>0</v>
      </c>
      <c r="I10" s="18">
        <v>0</v>
      </c>
      <c r="J10" s="67">
        <f>SUM(I440)</f>
        <v>258651.21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>
        <v>0</v>
      </c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f>503576.81+329745.26</f>
        <v>833322.07000000007</v>
      </c>
      <c r="G12" s="18">
        <v>328241.76</v>
      </c>
      <c r="H12" s="18">
        <f>450841.39-25909.47</f>
        <v>424931.92000000004</v>
      </c>
      <c r="I12" s="18">
        <v>0</v>
      </c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0</v>
      </c>
      <c r="G13" s="18">
        <v>1057.3800000000001</v>
      </c>
      <c r="H13" s="18">
        <v>61826.42</v>
      </c>
      <c r="I13" s="18">
        <v>0</v>
      </c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1892.02</v>
      </c>
      <c r="G14" s="18">
        <v>1935.21</v>
      </c>
      <c r="H14" s="18">
        <v>0</v>
      </c>
      <c r="I14" s="18">
        <v>0</v>
      </c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>
        <v>0</v>
      </c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1270520.19</v>
      </c>
      <c r="G19" s="41">
        <f>SUM(G9:G18)</f>
        <v>331234.35000000003</v>
      </c>
      <c r="H19" s="41">
        <f>SUM(H9:H18)</f>
        <v>486758.34</v>
      </c>
      <c r="I19" s="41">
        <f>SUM(I9:I18)</f>
        <v>0</v>
      </c>
      <c r="J19" s="41">
        <f>SUM(J9:J18)</f>
        <v>258651.21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779083.15</v>
      </c>
      <c r="G22" s="18">
        <f>325687.52+4057.74</f>
        <v>329745.26</v>
      </c>
      <c r="H22" s="18">
        <v>477667.34</v>
      </c>
      <c r="I22" s="18">
        <v>0</v>
      </c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f>204244.24-670.61</f>
        <v>203573.63</v>
      </c>
      <c r="G24" s="18">
        <v>0</v>
      </c>
      <c r="H24" s="18">
        <v>8486.4</v>
      </c>
      <c r="I24" s="18">
        <v>0</v>
      </c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>
        <v>0</v>
      </c>
      <c r="G25" s="145">
        <v>0</v>
      </c>
      <c r="H25" s="18">
        <v>0</v>
      </c>
      <c r="I25" s="18">
        <v>0</v>
      </c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>
        <v>0</v>
      </c>
      <c r="G26" s="24" t="s">
        <v>286</v>
      </c>
      <c r="H26" s="24" t="s">
        <v>286</v>
      </c>
      <c r="I26" s="18">
        <v>0</v>
      </c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>
        <v>0</v>
      </c>
      <c r="G27" s="24" t="s">
        <v>286</v>
      </c>
      <c r="H27" s="24" t="s">
        <v>286</v>
      </c>
      <c r="I27" s="18">
        <v>0</v>
      </c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0</v>
      </c>
      <c r="G28" s="18">
        <v>0</v>
      </c>
      <c r="H28" s="18">
        <v>604.6</v>
      </c>
      <c r="I28" s="18">
        <v>0</v>
      </c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0</v>
      </c>
      <c r="G30" s="18">
        <v>1426.79</v>
      </c>
      <c r="H30" s="18">
        <v>0</v>
      </c>
      <c r="I30" s="18">
        <v>0</v>
      </c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982656.78</v>
      </c>
      <c r="G32" s="41">
        <f>SUM(G22:G31)</f>
        <v>331172.05</v>
      </c>
      <c r="H32" s="41">
        <f>SUM(H22:H31)</f>
        <v>486758.34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0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>
        <v>0</v>
      </c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75001</v>
      </c>
      <c r="G44" s="18">
        <v>0</v>
      </c>
      <c r="H44" s="18">
        <v>0</v>
      </c>
      <c r="I44" s="18">
        <v>0</v>
      </c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97193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0</v>
      </c>
      <c r="G48" s="18">
        <v>0</v>
      </c>
      <c r="H48" s="18">
        <v>0</v>
      </c>
      <c r="I48" s="18">
        <v>0</v>
      </c>
      <c r="J48" s="13">
        <f>SUM(I459)</f>
        <v>258651.21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0</v>
      </c>
      <c r="G49" s="18">
        <v>62.3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108706.82+81700.37+22455.22-97193</f>
        <v>115669.41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287863.41000000003</v>
      </c>
      <c r="G51" s="41">
        <f>SUM(G35:G50)</f>
        <v>62.3</v>
      </c>
      <c r="H51" s="41">
        <f>SUM(H35:H50)</f>
        <v>0</v>
      </c>
      <c r="I51" s="41">
        <f>SUM(I35:I50)</f>
        <v>0</v>
      </c>
      <c r="J51" s="41">
        <f>SUM(J35:J50)</f>
        <v>258651.21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1270520.19</v>
      </c>
      <c r="G52" s="41">
        <f>G51+G32</f>
        <v>331234.34999999998</v>
      </c>
      <c r="H52" s="41">
        <f>H51+H32</f>
        <v>486758.34</v>
      </c>
      <c r="I52" s="41">
        <f>I51+I32</f>
        <v>0</v>
      </c>
      <c r="J52" s="41">
        <f>J51+J32</f>
        <v>258651.21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4314874</v>
      </c>
      <c r="G57" s="18">
        <v>0</v>
      </c>
      <c r="H57" s="18">
        <v>0</v>
      </c>
      <c r="I57" s="18">
        <v>0</v>
      </c>
      <c r="J57" s="18">
        <v>0</v>
      </c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>
        <v>0</v>
      </c>
      <c r="G58" s="18">
        <v>0</v>
      </c>
      <c r="H58" s="24" t="s">
        <v>286</v>
      </c>
      <c r="I58" s="18">
        <v>0</v>
      </c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4314874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0</v>
      </c>
      <c r="G63" s="24" t="s">
        <v>286</v>
      </c>
      <c r="H63" s="18">
        <v>0</v>
      </c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0</v>
      </c>
      <c r="G64" s="24" t="s">
        <v>286</v>
      </c>
      <c r="H64" s="18">
        <v>0</v>
      </c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>
        <v>0</v>
      </c>
      <c r="G65" s="24" t="s">
        <v>286</v>
      </c>
      <c r="H65" s="18">
        <v>0</v>
      </c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>
        <v>0</v>
      </c>
      <c r="G66" s="24" t="s">
        <v>286</v>
      </c>
      <c r="H66" s="18">
        <v>0</v>
      </c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0</v>
      </c>
      <c r="G68" s="24" t="s">
        <v>286</v>
      </c>
      <c r="H68" s="18">
        <v>0</v>
      </c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0</v>
      </c>
      <c r="G69" s="24" t="s">
        <v>286</v>
      </c>
      <c r="H69" s="18">
        <v>0</v>
      </c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v>0</v>
      </c>
      <c r="G70" s="24" t="s">
        <v>286</v>
      </c>
      <c r="H70" s="18">
        <v>0</v>
      </c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>
        <v>0</v>
      </c>
      <c r="G72" s="24" t="s">
        <v>286</v>
      </c>
      <c r="H72" s="18">
        <v>0</v>
      </c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>
        <v>0</v>
      </c>
      <c r="G73" s="24" t="s">
        <v>286</v>
      </c>
      <c r="H73" s="18">
        <v>0</v>
      </c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>
        <v>0</v>
      </c>
      <c r="G74" s="24" t="s">
        <v>286</v>
      </c>
      <c r="H74" s="18">
        <v>0</v>
      </c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>
        <v>0</v>
      </c>
      <c r="G76" s="24" t="s">
        <v>286</v>
      </c>
      <c r="H76" s="18">
        <v>0</v>
      </c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>
        <v>0</v>
      </c>
      <c r="G77" s="24" t="s">
        <v>286</v>
      </c>
      <c r="H77" s="18">
        <v>0</v>
      </c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>
        <v>0</v>
      </c>
      <c r="G78" s="24" t="s">
        <v>286</v>
      </c>
      <c r="H78" s="18">
        <v>0</v>
      </c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/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>
        <v>0</v>
      </c>
      <c r="G83" s="24" t="s">
        <v>286</v>
      </c>
      <c r="H83" s="18">
        <v>0</v>
      </c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>
        <v>0</v>
      </c>
      <c r="G84" s="24" t="s">
        <v>286</v>
      </c>
      <c r="H84" s="18">
        <v>0</v>
      </c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>
        <v>0</v>
      </c>
      <c r="G86" s="24" t="s">
        <v>286</v>
      </c>
      <c r="H86" s="18">
        <v>0</v>
      </c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>
        <v>0</v>
      </c>
      <c r="G87" s="24" t="s">
        <v>286</v>
      </c>
      <c r="H87" s="18">
        <v>0</v>
      </c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>
        <v>0</v>
      </c>
      <c r="G88" s="24" t="s">
        <v>286</v>
      </c>
      <c r="H88" s="18">
        <v>0</v>
      </c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>
        <v>0</v>
      </c>
      <c r="G90" s="24" t="s">
        <v>286</v>
      </c>
      <c r="H90" s="18">
        <v>0</v>
      </c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>
        <v>0</v>
      </c>
      <c r="G91" s="24" t="s">
        <v>286</v>
      </c>
      <c r="H91" s="18">
        <v>0</v>
      </c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>
        <v>0</v>
      </c>
      <c r="G92" s="24" t="s">
        <v>286</v>
      </c>
      <c r="H92" s="18">
        <v>0</v>
      </c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>
        <v>0</v>
      </c>
      <c r="G93" s="24" t="s">
        <v>286</v>
      </c>
      <c r="H93" s="18">
        <v>0</v>
      </c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73.510000000000005</v>
      </c>
      <c r="G96" s="18">
        <v>0</v>
      </c>
      <c r="H96" s="18">
        <v>0</v>
      </c>
      <c r="I96" s="18">
        <v>0</v>
      </c>
      <c r="J96" s="18">
        <v>24.15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31918.07+503+2075.9+1181.1+17.6-13280.51</f>
        <v>22415.159999999996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0</v>
      </c>
      <c r="G98" s="24" t="s">
        <v>286</v>
      </c>
      <c r="H98" s="18">
        <v>0</v>
      </c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>
        <v>0</v>
      </c>
      <c r="G99" s="18">
        <v>0</v>
      </c>
      <c r="H99" s="18">
        <v>0</v>
      </c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2375</v>
      </c>
      <c r="G101" s="18">
        <v>0</v>
      </c>
      <c r="H101" s="18">
        <v>0</v>
      </c>
      <c r="I101" s="18">
        <v>0</v>
      </c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>
        <v>0</v>
      </c>
      <c r="G103" s="18">
        <v>0</v>
      </c>
      <c r="H103" s="18">
        <v>0</v>
      </c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>
        <v>0</v>
      </c>
      <c r="G104" s="24" t="s">
        <v>286</v>
      </c>
      <c r="H104" s="18">
        <v>0</v>
      </c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0</v>
      </c>
      <c r="G105" s="18">
        <v>0</v>
      </c>
      <c r="H105" s="18">
        <v>0</v>
      </c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>
        <v>0</v>
      </c>
      <c r="G106" s="18">
        <v>0</v>
      </c>
      <c r="H106" s="18">
        <v>0</v>
      </c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0</v>
      </c>
      <c r="G109" s="18">
        <v>0</v>
      </c>
      <c r="H109" s="18">
        <v>0</v>
      </c>
      <c r="I109" s="18">
        <v>0</v>
      </c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110.1</v>
      </c>
      <c r="G110" s="18">
        <v>0</v>
      </c>
      <c r="H110" s="18">
        <v>0</v>
      </c>
      <c r="I110" s="18">
        <v>0</v>
      </c>
      <c r="J110" s="18">
        <v>0</v>
      </c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2558.61</v>
      </c>
      <c r="G111" s="41">
        <f>SUM(G96:G110)</f>
        <v>22415.159999999996</v>
      </c>
      <c r="H111" s="41">
        <f>SUM(H96:H110)</f>
        <v>0</v>
      </c>
      <c r="I111" s="41">
        <f>SUM(I96:I110)</f>
        <v>0</v>
      </c>
      <c r="J111" s="41">
        <f>SUM(J96:J110)</f>
        <v>24.15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4317432.6100000003</v>
      </c>
      <c r="G112" s="41">
        <f>G60+G111</f>
        <v>22415.159999999996</v>
      </c>
      <c r="H112" s="41">
        <f>H60+H79+H94+H111</f>
        <v>0</v>
      </c>
      <c r="I112" s="41">
        <f>I60+I111</f>
        <v>0</v>
      </c>
      <c r="J112" s="41">
        <f>J60+J111</f>
        <v>24.15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652412.93999999994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544779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0</v>
      </c>
      <c r="G120" s="18">
        <v>0</v>
      </c>
      <c r="H120" s="18">
        <v>0</v>
      </c>
      <c r="I120" s="18">
        <v>0</v>
      </c>
      <c r="J120" s="18">
        <v>0</v>
      </c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1197191.94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0</v>
      </c>
      <c r="G123" s="24" t="s">
        <v>286</v>
      </c>
      <c r="H123" s="24" t="s">
        <v>286</v>
      </c>
      <c r="I123" s="18">
        <v>0</v>
      </c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>
        <v>0</v>
      </c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48936.34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0</v>
      </c>
      <c r="G127" s="24" t="s">
        <v>286</v>
      </c>
      <c r="H127" s="18">
        <v>0</v>
      </c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0</v>
      </c>
      <c r="G128" s="24" t="s">
        <v>286</v>
      </c>
      <c r="H128" s="18">
        <v>0</v>
      </c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>
        <v>0</v>
      </c>
      <c r="G129" s="24" t="s">
        <v>286</v>
      </c>
      <c r="H129" s="18">
        <v>0</v>
      </c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>
        <v>0</v>
      </c>
      <c r="G130" s="24" t="s">
        <v>286</v>
      </c>
      <c r="H130" s="18">
        <v>0</v>
      </c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>
        <v>0</v>
      </c>
      <c r="G131" s="24" t="s">
        <v>286</v>
      </c>
      <c r="H131" s="18">
        <v>0</v>
      </c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548.41999999999996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>
        <v>0</v>
      </c>
      <c r="G133" s="24" t="s">
        <v>286</v>
      </c>
      <c r="H133" s="18">
        <v>0</v>
      </c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48936.34</v>
      </c>
      <c r="G136" s="41">
        <f>SUM(G123:G135)</f>
        <v>548.41999999999996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>
        <v>0</v>
      </c>
      <c r="G137" s="18">
        <v>0</v>
      </c>
      <c r="H137" s="18">
        <v>0</v>
      </c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>
        <v>0</v>
      </c>
      <c r="G138" s="24" t="s">
        <v>286</v>
      </c>
      <c r="H138" s="18">
        <v>0</v>
      </c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1246128.28</v>
      </c>
      <c r="G140" s="41">
        <f>G121+SUM(G136:G137)</f>
        <v>548.41999999999996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>
        <v>0</v>
      </c>
      <c r="G150" s="24" t="s">
        <v>286</v>
      </c>
      <c r="H150" s="18">
        <v>0</v>
      </c>
      <c r="I150" s="18">
        <v>0</v>
      </c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>
        <v>0</v>
      </c>
      <c r="G151" s="24" t="s">
        <v>286</v>
      </c>
      <c r="H151" s="18">
        <v>0</v>
      </c>
      <c r="I151" s="18">
        <v>0</v>
      </c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>
        <v>0</v>
      </c>
      <c r="G152" s="24" t="s">
        <v>286</v>
      </c>
      <c r="H152" s="18">
        <v>0</v>
      </c>
      <c r="I152" s="18">
        <v>0</v>
      </c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22237.22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15341.76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0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>
        <v>0</v>
      </c>
      <c r="G157" s="24" t="s">
        <v>286</v>
      </c>
      <c r="H157" s="18">
        <v>0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8088.74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>
        <v>0</v>
      </c>
      <c r="G159" s="24" t="s">
        <v>286</v>
      </c>
      <c r="H159" s="18">
        <v>43134.94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22897.79</v>
      </c>
      <c r="G160" s="24" t="s">
        <v>286</v>
      </c>
      <c r="H160" s="18">
        <v>0</v>
      </c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22897.79</v>
      </c>
      <c r="G162" s="41">
        <f>SUM(G150:G161)</f>
        <v>8088.74</v>
      </c>
      <c r="H162" s="41">
        <f>SUM(H150:H161)</f>
        <v>80713.920000000013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0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>
        <v>0</v>
      </c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>
        <v>0</v>
      </c>
      <c r="G168" s="18">
        <v>0</v>
      </c>
      <c r="H168" s="18">
        <v>0</v>
      </c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22897.79</v>
      </c>
      <c r="G169" s="41">
        <f>G147+G162+SUM(G163:G168)</f>
        <v>8088.74</v>
      </c>
      <c r="H169" s="41">
        <f>H147+H162+SUM(H163:H168)</f>
        <v>80713.920000000013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>
        <v>0</v>
      </c>
      <c r="G173" s="24" t="s">
        <v>286</v>
      </c>
      <c r="H173" s="24" t="s">
        <v>286</v>
      </c>
      <c r="I173" s="18">
        <v>0</v>
      </c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>
        <v>0</v>
      </c>
      <c r="G174" s="24" t="s">
        <v>286</v>
      </c>
      <c r="H174" s="24" t="s">
        <v>286</v>
      </c>
      <c r="I174" s="18">
        <v>0</v>
      </c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>
        <v>0</v>
      </c>
      <c r="G175" s="24" t="s">
        <v>286</v>
      </c>
      <c r="H175" s="24" t="s">
        <v>286</v>
      </c>
      <c r="I175" s="18">
        <v>0</v>
      </c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>
        <v>0</v>
      </c>
      <c r="G176" s="24" t="s">
        <v>286</v>
      </c>
      <c r="H176" s="24" t="s">
        <v>286</v>
      </c>
      <c r="I176" s="18">
        <v>0</v>
      </c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12000</v>
      </c>
      <c r="H179" s="18">
        <v>0</v>
      </c>
      <c r="I179" s="18">
        <v>0</v>
      </c>
      <c r="J179" s="18">
        <v>50000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>
        <v>0</v>
      </c>
      <c r="G180" s="24" t="s">
        <v>286</v>
      </c>
      <c r="H180" s="18">
        <v>0</v>
      </c>
      <c r="I180" s="18">
        <v>0</v>
      </c>
      <c r="J180" s="18">
        <v>0</v>
      </c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>
        <v>0</v>
      </c>
      <c r="G181" s="18">
        <v>0</v>
      </c>
      <c r="H181" s="24" t="s">
        <v>286</v>
      </c>
      <c r="I181" s="18">
        <v>0</v>
      </c>
      <c r="J181" s="18">
        <v>0</v>
      </c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>
        <v>0</v>
      </c>
      <c r="G182" s="18">
        <v>0</v>
      </c>
      <c r="H182" s="18">
        <v>0</v>
      </c>
      <c r="I182" s="24" t="s">
        <v>286</v>
      </c>
      <c r="J182" s="18">
        <v>0</v>
      </c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12000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12000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5586458.6800000006</v>
      </c>
      <c r="G193" s="47">
        <f>G112+G140+G169+G192</f>
        <v>43052.319999999992</v>
      </c>
      <c r="H193" s="47">
        <f>H112+H140+H169+H192</f>
        <v>80713.920000000013</v>
      </c>
      <c r="I193" s="47">
        <f>I112+I140+I169+I192</f>
        <v>0</v>
      </c>
      <c r="J193" s="47">
        <f>J112+J140+J192</f>
        <v>50024.15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733700.24</v>
      </c>
      <c r="G197" s="18">
        <f>391220.06+18267.1+9119</f>
        <v>418606.16</v>
      </c>
      <c r="H197" s="18">
        <f>30393.38+9944.82+936.79+9967.92+2842.31+236.36</f>
        <v>54321.579999999994</v>
      </c>
      <c r="I197" s="18">
        <v>32500.94</v>
      </c>
      <c r="J197" s="18">
        <v>43292.55</v>
      </c>
      <c r="K197" s="18">
        <v>0</v>
      </c>
      <c r="L197" s="19">
        <f>SUM(F197:K197)</f>
        <v>1282421.47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324694.9-17243.81-17243.81</f>
        <v>290207.28000000003</v>
      </c>
      <c r="G198" s="18">
        <f>118742.13-7175.08-7175.08-113.4-113.4-60.72-60.72-26.84-26.84-1244.78-1244.78-2993.48-2993.48</f>
        <v>95513.530000000028</v>
      </c>
      <c r="H198" s="18">
        <f>44856.3</f>
        <v>44856.3</v>
      </c>
      <c r="I198" s="18">
        <v>3287.2</v>
      </c>
      <c r="J198" s="18">
        <v>2000</v>
      </c>
      <c r="K198" s="18">
        <v>0</v>
      </c>
      <c r="L198" s="19">
        <f>SUM(F198:K198)</f>
        <v>435864.31000000006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0</v>
      </c>
      <c r="G200" s="18">
        <v>0</v>
      </c>
      <c r="H200" s="18">
        <v>0</v>
      </c>
      <c r="I200" s="18">
        <v>0</v>
      </c>
      <c r="J200" s="18">
        <v>0</v>
      </c>
      <c r="K200" s="18">
        <v>0</v>
      </c>
      <c r="L200" s="19">
        <f>SUM(F200:K200)</f>
        <v>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57579.44+60486.04+67175</f>
        <v>185240.48</v>
      </c>
      <c r="G202" s="18">
        <f>45560.78+27246.9+46399.43-1457-1457-23.76-23.76-11.22-11.22-5.39-5.39-224.81-224.81-554.32-554.32</f>
        <v>114654.10999999999</v>
      </c>
      <c r="H202" s="18">
        <f>47.07+33965.35+4807.75</f>
        <v>38820.17</v>
      </c>
      <c r="I202" s="18">
        <v>584.70000000000005</v>
      </c>
      <c r="J202" s="18">
        <v>0</v>
      </c>
      <c r="K202" s="18">
        <v>0</v>
      </c>
      <c r="L202" s="19">
        <f t="shared" ref="L202:L208" si="0">SUM(F202:K202)</f>
        <v>339299.45999999996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38115.11</v>
      </c>
      <c r="G203" s="18">
        <v>20519.830000000002</v>
      </c>
      <c r="H203" s="18">
        <v>1147.5</v>
      </c>
      <c r="I203" s="18">
        <f>59.95+1614.12</f>
        <v>1674.07</v>
      </c>
      <c r="J203" s="18">
        <v>727.5</v>
      </c>
      <c r="K203" s="18">
        <v>2184.65</v>
      </c>
      <c r="L203" s="19">
        <f t="shared" si="0"/>
        <v>64368.66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f>5950+2250+15</f>
        <v>8215</v>
      </c>
      <c r="G204" s="18">
        <f>447.53+428.24</f>
        <v>875.77</v>
      </c>
      <c r="H204" s="18">
        <f>6198.91+12250+4053.12+875+150624</f>
        <v>174001.03</v>
      </c>
      <c r="I204" s="18">
        <f>1434.67+218.2</f>
        <v>1652.8700000000001</v>
      </c>
      <c r="J204" s="18">
        <v>0</v>
      </c>
      <c r="K204" s="18">
        <v>3009.3</v>
      </c>
      <c r="L204" s="19">
        <f t="shared" si="0"/>
        <v>187753.96999999997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157267.68</v>
      </c>
      <c r="G205" s="18">
        <v>75184.7</v>
      </c>
      <c r="H205" s="18">
        <v>2676.5</v>
      </c>
      <c r="I205" s="18">
        <v>1188.23</v>
      </c>
      <c r="J205" s="18">
        <v>0</v>
      </c>
      <c r="K205" s="18">
        <v>0</v>
      </c>
      <c r="L205" s="19">
        <f t="shared" si="0"/>
        <v>236317.11000000002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107735.81</v>
      </c>
      <c r="G207" s="18">
        <f>59103.72+308.19</f>
        <v>59411.91</v>
      </c>
      <c r="H207" s="18">
        <f>10083+4820.87+6428.5+266558.23+1533.45</f>
        <v>289424.05</v>
      </c>
      <c r="I207" s="18">
        <f>8915.29+40862.62</f>
        <v>49777.91</v>
      </c>
      <c r="J207" s="18">
        <f>617.63+2298.97</f>
        <v>2916.6</v>
      </c>
      <c r="K207" s="18">
        <v>0</v>
      </c>
      <c r="L207" s="19">
        <f t="shared" si="0"/>
        <v>509266.28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0</v>
      </c>
      <c r="G208" s="18">
        <v>0</v>
      </c>
      <c r="H208" s="18">
        <f>13305.84+198+101568</f>
        <v>115071.84</v>
      </c>
      <c r="I208" s="18">
        <v>0</v>
      </c>
      <c r="J208" s="18">
        <v>0</v>
      </c>
      <c r="K208" s="18">
        <v>0</v>
      </c>
      <c r="L208" s="19">
        <f t="shared" si="0"/>
        <v>115071.84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1520481.6</v>
      </c>
      <c r="G211" s="41">
        <f t="shared" si="1"/>
        <v>784766.01</v>
      </c>
      <c r="H211" s="41">
        <f t="shared" si="1"/>
        <v>720318.96999999986</v>
      </c>
      <c r="I211" s="41">
        <f t="shared" si="1"/>
        <v>90665.920000000013</v>
      </c>
      <c r="J211" s="41">
        <f t="shared" si="1"/>
        <v>48936.65</v>
      </c>
      <c r="K211" s="41">
        <f t="shared" si="1"/>
        <v>5193.9500000000007</v>
      </c>
      <c r="L211" s="41">
        <f t="shared" si="1"/>
        <v>3170363.0999999996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0</v>
      </c>
      <c r="G215" s="18">
        <v>0</v>
      </c>
      <c r="H215" s="18">
        <v>424319.22</v>
      </c>
      <c r="I215" s="18">
        <v>0</v>
      </c>
      <c r="J215" s="18">
        <v>0</v>
      </c>
      <c r="K215" s="18">
        <v>0</v>
      </c>
      <c r="L215" s="19">
        <f>SUM(F215:K215)</f>
        <v>424319.22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17243.810000000001</v>
      </c>
      <c r="G216" s="18">
        <f>7175.08+113.4+60.72+26.84+1244.78+2993.48</f>
        <v>11614.3</v>
      </c>
      <c r="H216" s="18">
        <f>91191.8+75557.28</f>
        <v>166749.08000000002</v>
      </c>
      <c r="I216" s="18">
        <v>0</v>
      </c>
      <c r="J216" s="18">
        <v>0</v>
      </c>
      <c r="K216" s="18">
        <v>0</v>
      </c>
      <c r="L216" s="19">
        <f>SUM(F216:K216)</f>
        <v>195607.19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3198.78</v>
      </c>
      <c r="G220" s="18">
        <f>1457+23.76+11.22+5.39+224.81+554.32</f>
        <v>2276.5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ref="L220:L226" si="2">SUM(F220:K220)</f>
        <v>5475.2800000000007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0</v>
      </c>
      <c r="G226" s="18">
        <v>0</v>
      </c>
      <c r="H226" s="18">
        <f>31586+98.21+1554.23</f>
        <v>33238.44</v>
      </c>
      <c r="I226" s="18">
        <v>0</v>
      </c>
      <c r="J226" s="18">
        <v>0</v>
      </c>
      <c r="K226" s="18">
        <v>0</v>
      </c>
      <c r="L226" s="19">
        <f t="shared" si="2"/>
        <v>33238.44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20442.59</v>
      </c>
      <c r="G229" s="41">
        <f>SUM(G215:G228)</f>
        <v>13890.8</v>
      </c>
      <c r="H229" s="41">
        <f>SUM(H215:H228)</f>
        <v>624306.74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658640.12999999989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0</v>
      </c>
      <c r="G233" s="18">
        <v>0</v>
      </c>
      <c r="H233" s="18">
        <f>124446.86+938534.61</f>
        <v>1062981.47</v>
      </c>
      <c r="I233" s="18">
        <v>0</v>
      </c>
      <c r="J233" s="18">
        <v>0</v>
      </c>
      <c r="K233" s="18">
        <v>0</v>
      </c>
      <c r="L233" s="19">
        <f>SUM(F233:K233)</f>
        <v>1062981.47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17243.810000000001</v>
      </c>
      <c r="G234" s="18">
        <f>7175.08+113.4+60.72+26.84+1244.78+2993.48</f>
        <v>11614.3</v>
      </c>
      <c r="H234" s="18">
        <f>85612.03+312.5+140915.04+188664.1</f>
        <v>415503.67000000004</v>
      </c>
      <c r="I234" s="18">
        <v>0</v>
      </c>
      <c r="J234" s="18">
        <v>0</v>
      </c>
      <c r="K234" s="18">
        <v>0</v>
      </c>
      <c r="L234" s="19">
        <f>SUM(F234:K234)</f>
        <v>444361.78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3198.78</v>
      </c>
      <c r="G238" s="18">
        <f>1457+23.76+11.22+5.39+224.81+554.32</f>
        <v>2276.5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ref="L238:L244" si="4">SUM(F238:K238)</f>
        <v>5475.2800000000007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0</v>
      </c>
      <c r="G244" s="18">
        <v>0</v>
      </c>
      <c r="H244" s="18">
        <f>63791+108788.21+2763.07</f>
        <v>175342.28000000003</v>
      </c>
      <c r="I244" s="18">
        <v>0</v>
      </c>
      <c r="J244" s="18">
        <v>0</v>
      </c>
      <c r="K244" s="18">
        <v>0</v>
      </c>
      <c r="L244" s="19">
        <f t="shared" si="4"/>
        <v>175342.28000000003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20442.59</v>
      </c>
      <c r="G247" s="41">
        <f t="shared" si="5"/>
        <v>13890.8</v>
      </c>
      <c r="H247" s="41">
        <f t="shared" si="5"/>
        <v>1653827.4200000002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1688160.81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1561366.7800000003</v>
      </c>
      <c r="G257" s="41">
        <f t="shared" si="8"/>
        <v>812547.6100000001</v>
      </c>
      <c r="H257" s="41">
        <f t="shared" si="8"/>
        <v>2998453.13</v>
      </c>
      <c r="I257" s="41">
        <f t="shared" si="8"/>
        <v>90665.920000000013</v>
      </c>
      <c r="J257" s="41">
        <f t="shared" si="8"/>
        <v>48936.65</v>
      </c>
      <c r="K257" s="41">
        <f t="shared" si="8"/>
        <v>5193.9500000000007</v>
      </c>
      <c r="L257" s="41">
        <f t="shared" si="8"/>
        <v>5517164.0399999991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0</v>
      </c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0</v>
      </c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12000</v>
      </c>
      <c r="L263" s="19">
        <f>SUM(F263:K263)</f>
        <v>12000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>
        <v>0</v>
      </c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>
        <v>0</v>
      </c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50000</v>
      </c>
      <c r="L266" s="19">
        <f t="shared" si="9"/>
        <v>50000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0</v>
      </c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>
        <v>0</v>
      </c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62000</v>
      </c>
      <c r="L270" s="41">
        <f t="shared" si="9"/>
        <v>62000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1561366.7800000003</v>
      </c>
      <c r="G271" s="42">
        <f t="shared" si="11"/>
        <v>812547.6100000001</v>
      </c>
      <c r="H271" s="42">
        <f t="shared" si="11"/>
        <v>2998453.13</v>
      </c>
      <c r="I271" s="42">
        <f t="shared" si="11"/>
        <v>90665.920000000013</v>
      </c>
      <c r="J271" s="42">
        <f t="shared" si="11"/>
        <v>48936.65</v>
      </c>
      <c r="K271" s="42">
        <f t="shared" si="11"/>
        <v>67193.95</v>
      </c>
      <c r="L271" s="42">
        <f t="shared" si="11"/>
        <v>5579164.0399999991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13731.6</v>
      </c>
      <c r="G276" s="18">
        <v>2613.23</v>
      </c>
      <c r="H276" s="18">
        <v>0</v>
      </c>
      <c r="I276" s="18">
        <v>2388.2800000000002</v>
      </c>
      <c r="J276" s="18">
        <f>756</f>
        <v>756</v>
      </c>
      <c r="K276" s="18">
        <v>0</v>
      </c>
      <c r="L276" s="19">
        <f>SUM(F276:K276)</f>
        <v>19489.11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4806.3999999999996</v>
      </c>
      <c r="G277" s="18">
        <v>938.69</v>
      </c>
      <c r="H277" s="18">
        <v>0</v>
      </c>
      <c r="I277" s="18">
        <v>420</v>
      </c>
      <c r="J277" s="18">
        <v>18.39</v>
      </c>
      <c r="K277" s="18">
        <v>0</v>
      </c>
      <c r="L277" s="19">
        <f>SUM(F277:K277)</f>
        <v>6183.4800000000005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20174.080000000002</v>
      </c>
      <c r="G281" s="18">
        <v>5146.41</v>
      </c>
      <c r="H281" s="18">
        <f>2497.94+8718.03</f>
        <v>11215.970000000001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36536.460000000006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0</v>
      </c>
      <c r="G282" s="18">
        <v>0</v>
      </c>
      <c r="H282" s="18">
        <f>13757.34+415</f>
        <v>14172.34</v>
      </c>
      <c r="I282" s="18">
        <v>0</v>
      </c>
      <c r="J282" s="18">
        <v>0</v>
      </c>
      <c r="K282" s="18">
        <v>0</v>
      </c>
      <c r="L282" s="19">
        <f t="shared" si="12"/>
        <v>14172.34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>
        <v>3038</v>
      </c>
      <c r="G285" s="18">
        <v>232.61</v>
      </c>
      <c r="H285" s="18">
        <v>0</v>
      </c>
      <c r="I285" s="18">
        <v>0</v>
      </c>
      <c r="J285" s="18">
        <v>0</v>
      </c>
      <c r="K285" s="18">
        <v>1061.92</v>
      </c>
      <c r="L285" s="19">
        <f t="shared" si="12"/>
        <v>4332.5300000000007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41750.080000000002</v>
      </c>
      <c r="G290" s="42">
        <f t="shared" si="13"/>
        <v>8930.94</v>
      </c>
      <c r="H290" s="42">
        <f t="shared" si="13"/>
        <v>25388.31</v>
      </c>
      <c r="I290" s="42">
        <f t="shared" si="13"/>
        <v>2808.28</v>
      </c>
      <c r="J290" s="42">
        <f t="shared" si="13"/>
        <v>774.39</v>
      </c>
      <c r="K290" s="42">
        <f t="shared" si="13"/>
        <v>1061.92</v>
      </c>
      <c r="L290" s="41">
        <f t="shared" si="13"/>
        <v>80713.919999999998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41750.080000000002</v>
      </c>
      <c r="G338" s="41">
        <f t="shared" si="20"/>
        <v>8930.94</v>
      </c>
      <c r="H338" s="41">
        <f t="shared" si="20"/>
        <v>25388.31</v>
      </c>
      <c r="I338" s="41">
        <f t="shared" si="20"/>
        <v>2808.28</v>
      </c>
      <c r="J338" s="41">
        <f t="shared" si="20"/>
        <v>774.39</v>
      </c>
      <c r="K338" s="41">
        <f t="shared" si="20"/>
        <v>1061.92</v>
      </c>
      <c r="L338" s="41">
        <f t="shared" si="20"/>
        <v>80713.919999999998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>
        <v>0</v>
      </c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>
        <v>0</v>
      </c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>
        <v>0</v>
      </c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>
        <v>0</v>
      </c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>
        <v>0</v>
      </c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41750.080000000002</v>
      </c>
      <c r="G352" s="41">
        <f>G338</f>
        <v>8930.94</v>
      </c>
      <c r="H352" s="41">
        <f>H338</f>
        <v>25388.31</v>
      </c>
      <c r="I352" s="41">
        <f>I338</f>
        <v>2808.28</v>
      </c>
      <c r="J352" s="41">
        <f>J338</f>
        <v>774.39</v>
      </c>
      <c r="K352" s="47">
        <f>K338+K351</f>
        <v>1061.92</v>
      </c>
      <c r="L352" s="41">
        <f>L338+L351</f>
        <v>80713.919999999998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497.35</v>
      </c>
      <c r="G358" s="18">
        <v>38.049999999999997</v>
      </c>
      <c r="H358" s="18">
        <v>43174</v>
      </c>
      <c r="I358" s="18">
        <v>4185.87</v>
      </c>
      <c r="J358" s="18">
        <v>0</v>
      </c>
      <c r="K358" s="18">
        <v>0</v>
      </c>
      <c r="L358" s="13">
        <f>SUM(F358:K358)</f>
        <v>47895.270000000004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0</v>
      </c>
      <c r="G360" s="18">
        <v>0</v>
      </c>
      <c r="H360" s="18">
        <v>0</v>
      </c>
      <c r="I360" s="18">
        <v>0</v>
      </c>
      <c r="J360" s="18">
        <v>0</v>
      </c>
      <c r="K360" s="18">
        <v>0</v>
      </c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>
        <v>0</v>
      </c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497.35</v>
      </c>
      <c r="G362" s="47">
        <f t="shared" si="22"/>
        <v>38.049999999999997</v>
      </c>
      <c r="H362" s="47">
        <f t="shared" si="22"/>
        <v>43174</v>
      </c>
      <c r="I362" s="47">
        <f t="shared" si="22"/>
        <v>4185.87</v>
      </c>
      <c r="J362" s="47">
        <f t="shared" si="22"/>
        <v>0</v>
      </c>
      <c r="K362" s="47">
        <f t="shared" si="22"/>
        <v>0</v>
      </c>
      <c r="L362" s="47">
        <f t="shared" si="22"/>
        <v>47895.270000000004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0</v>
      </c>
      <c r="G367" s="18">
        <v>0</v>
      </c>
      <c r="H367" s="18">
        <v>0</v>
      </c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4185.87</v>
      </c>
      <c r="G368" s="63">
        <v>0</v>
      </c>
      <c r="H368" s="63">
        <v>0</v>
      </c>
      <c r="I368" s="56">
        <f>SUM(F368:H368)</f>
        <v>4185.87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4185.87</v>
      </c>
      <c r="G369" s="47">
        <f>SUM(G367:G368)</f>
        <v>0</v>
      </c>
      <c r="H369" s="47">
        <f>SUM(H367:H368)</f>
        <v>0</v>
      </c>
      <c r="I369" s="47">
        <f>SUM(I367:I368)</f>
        <v>4185.87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>
        <v>0</v>
      </c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>
        <v>0</v>
      </c>
      <c r="G387" s="18">
        <v>0</v>
      </c>
      <c r="H387" s="18">
        <v>0</v>
      </c>
      <c r="I387" s="18">
        <v>0</v>
      </c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>
        <v>0</v>
      </c>
      <c r="G392" s="18">
        <v>50000</v>
      </c>
      <c r="H392" s="18">
        <v>24.15</v>
      </c>
      <c r="I392" s="18">
        <v>0</v>
      </c>
      <c r="J392" s="24" t="s">
        <v>286</v>
      </c>
      <c r="K392" s="24" t="s">
        <v>286</v>
      </c>
      <c r="L392" s="56">
        <f t="shared" si="25"/>
        <v>50024.15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50000</v>
      </c>
      <c r="H393" s="139">
        <f>SUM(H387:H392)</f>
        <v>24.15</v>
      </c>
      <c r="I393" s="65">
        <v>0</v>
      </c>
      <c r="J393" s="45" t="s">
        <v>286</v>
      </c>
      <c r="K393" s="45" t="s">
        <v>286</v>
      </c>
      <c r="L393" s="47">
        <f>SUM(L387:L392)</f>
        <v>50024.15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>
        <v>0</v>
      </c>
      <c r="G400" s="18">
        <v>0</v>
      </c>
      <c r="H400" s="18">
        <v>0</v>
      </c>
      <c r="I400" s="18">
        <v>0</v>
      </c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0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>
        <v>0</v>
      </c>
      <c r="G406" s="18">
        <v>0</v>
      </c>
      <c r="H406" s="18">
        <v>0</v>
      </c>
      <c r="I406" s="18">
        <v>0</v>
      </c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24.15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50024.15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v>0</v>
      </c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0</v>
      </c>
      <c r="G439" s="18">
        <v>0</v>
      </c>
      <c r="H439" s="18">
        <v>0</v>
      </c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258651.21</v>
      </c>
      <c r="G440" s="18">
        <v>0</v>
      </c>
      <c r="H440" s="18">
        <v>0</v>
      </c>
      <c r="I440" s="56">
        <f t="shared" si="33"/>
        <v>258651.21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258651.21</v>
      </c>
      <c r="G446" s="13">
        <f>SUM(G439:G445)</f>
        <v>0</v>
      </c>
      <c r="H446" s="13">
        <f>SUM(H439:H445)</f>
        <v>0</v>
      </c>
      <c r="I446" s="13">
        <f>SUM(I439:I445)</f>
        <v>258651.21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258651.21</v>
      </c>
      <c r="G459" s="18">
        <v>0</v>
      </c>
      <c r="H459" s="18">
        <v>0</v>
      </c>
      <c r="I459" s="56">
        <f t="shared" si="34"/>
        <v>258651.21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258651.21</v>
      </c>
      <c r="G460" s="83">
        <f>SUM(G454:G459)</f>
        <v>0</v>
      </c>
      <c r="H460" s="83">
        <f>SUM(H454:H459)</f>
        <v>0</v>
      </c>
      <c r="I460" s="83">
        <f>SUM(I454:I459)</f>
        <v>258651.21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258651.21</v>
      </c>
      <c r="G461" s="42">
        <f>G452+G460</f>
        <v>0</v>
      </c>
      <c r="H461" s="42">
        <f>H452+H460</f>
        <v>0</v>
      </c>
      <c r="I461" s="42">
        <f>I452+I460</f>
        <v>258651.21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f>230568.77+50000</f>
        <v>280568.77</v>
      </c>
      <c r="G465" s="18">
        <v>4905.25</v>
      </c>
      <c r="H465" s="18">
        <v>0</v>
      </c>
      <c r="I465" s="18">
        <v>0</v>
      </c>
      <c r="J465" s="18">
        <v>208627.06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F193</f>
        <v>5586458.6800000006</v>
      </c>
      <c r="G468" s="18">
        <v>43052.32</v>
      </c>
      <c r="H468" s="18">
        <v>80713.919999999998</v>
      </c>
      <c r="I468" s="18">
        <v>0</v>
      </c>
      <c r="J468" s="18">
        <v>50024.15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>
        <v>0</v>
      </c>
      <c r="G469" s="18">
        <v>0</v>
      </c>
      <c r="H469" s="18">
        <v>0</v>
      </c>
      <c r="I469" s="18">
        <v>0</v>
      </c>
      <c r="J469" s="18">
        <v>0</v>
      </c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5586458.6800000006</v>
      </c>
      <c r="G470" s="53">
        <f>SUM(G468:G469)</f>
        <v>43052.32</v>
      </c>
      <c r="H470" s="53">
        <f>SUM(H468:H469)</f>
        <v>80713.919999999998</v>
      </c>
      <c r="I470" s="53">
        <f>SUM(I468:I469)</f>
        <v>0</v>
      </c>
      <c r="J470" s="53">
        <f>SUM(J468:J469)</f>
        <v>50024.15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L271</f>
        <v>5579164.0399999991</v>
      </c>
      <c r="G472" s="18">
        <v>47895.27</v>
      </c>
      <c r="H472" s="18">
        <v>80713.919999999998</v>
      </c>
      <c r="I472" s="18">
        <v>0</v>
      </c>
      <c r="J472" s="18">
        <v>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>
        <v>0</v>
      </c>
      <c r="G473" s="18">
        <v>0</v>
      </c>
      <c r="H473" s="18">
        <v>0</v>
      </c>
      <c r="I473" s="18">
        <v>0</v>
      </c>
      <c r="J473" s="18">
        <v>0</v>
      </c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5579164.0399999991</v>
      </c>
      <c r="G474" s="53">
        <f>SUM(G472:G473)</f>
        <v>47895.27</v>
      </c>
      <c r="H474" s="53">
        <f>SUM(H472:H473)</f>
        <v>80713.919999999998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287863.41000000201</v>
      </c>
      <c r="G476" s="53">
        <f>(G465+G470)- G474</f>
        <v>62.30000000000291</v>
      </c>
      <c r="H476" s="53">
        <f>(H465+H470)- H474</f>
        <v>0</v>
      </c>
      <c r="I476" s="53">
        <f>(I465+I470)- I474</f>
        <v>0</v>
      </c>
      <c r="J476" s="53">
        <f>(J465+J470)- J474</f>
        <v>258651.21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0</v>
      </c>
      <c r="G490" s="154">
        <v>0</v>
      </c>
      <c r="H490" s="154">
        <v>0</v>
      </c>
      <c r="I490" s="154">
        <v>0</v>
      </c>
      <c r="J490" s="154">
        <v>0</v>
      </c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912</v>
      </c>
      <c r="G491" s="155" t="s">
        <v>912</v>
      </c>
      <c r="H491" s="154">
        <v>0</v>
      </c>
      <c r="I491" s="154">
        <v>0</v>
      </c>
      <c r="J491" s="154">
        <v>0</v>
      </c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912</v>
      </c>
      <c r="G492" s="155" t="s">
        <v>912</v>
      </c>
      <c r="H492" s="154">
        <v>0</v>
      </c>
      <c r="I492" s="154">
        <v>0</v>
      </c>
      <c r="J492" s="154">
        <v>0</v>
      </c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0</v>
      </c>
      <c r="G493" s="18">
        <v>0</v>
      </c>
      <c r="H493" s="18">
        <v>0</v>
      </c>
      <c r="I493" s="18">
        <v>0</v>
      </c>
      <c r="J493" s="18">
        <v>0</v>
      </c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0</v>
      </c>
      <c r="G494" s="18">
        <v>0</v>
      </c>
      <c r="H494" s="18">
        <v>0</v>
      </c>
      <c r="I494" s="18">
        <v>0</v>
      </c>
      <c r="J494" s="18">
        <v>0</v>
      </c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0</v>
      </c>
      <c r="G495" s="18">
        <v>0</v>
      </c>
      <c r="H495" s="18">
        <v>0</v>
      </c>
      <c r="I495" s="18">
        <v>0</v>
      </c>
      <c r="J495" s="18">
        <v>0</v>
      </c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>
        <v>0</v>
      </c>
      <c r="H496" s="18">
        <v>0</v>
      </c>
      <c r="I496" s="18">
        <v>0</v>
      </c>
      <c r="J496" s="18">
        <v>0</v>
      </c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0</v>
      </c>
      <c r="G497" s="18">
        <v>0</v>
      </c>
      <c r="H497" s="18">
        <v>0</v>
      </c>
      <c r="I497" s="18">
        <v>0</v>
      </c>
      <c r="J497" s="18">
        <v>0</v>
      </c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0</v>
      </c>
      <c r="G498" s="204">
        <v>0</v>
      </c>
      <c r="H498" s="204">
        <v>0</v>
      </c>
      <c r="I498" s="204">
        <v>0</v>
      </c>
      <c r="J498" s="204">
        <v>0</v>
      </c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0</v>
      </c>
      <c r="G499" s="18">
        <v>0</v>
      </c>
      <c r="H499" s="18">
        <v>0</v>
      </c>
      <c r="I499" s="18">
        <v>0</v>
      </c>
      <c r="J499" s="18">
        <v>0</v>
      </c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>
        <v>0</v>
      </c>
      <c r="G511" s="24" t="s">
        <v>286</v>
      </c>
      <c r="H511" s="18">
        <v>0</v>
      </c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>
        <v>0</v>
      </c>
      <c r="G512" s="24" t="s">
        <v>286</v>
      </c>
      <c r="H512" s="18">
        <v>0</v>
      </c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>
        <v>0</v>
      </c>
      <c r="G513" s="24" t="s">
        <v>286</v>
      </c>
      <c r="H513" s="18">
        <v>0</v>
      </c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>
        <v>0</v>
      </c>
      <c r="G514" s="24" t="s">
        <v>286</v>
      </c>
      <c r="H514" s="18">
        <v>0</v>
      </c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>
        <v>0</v>
      </c>
      <c r="G515" s="24" t="s">
        <v>286</v>
      </c>
      <c r="H515" s="18">
        <v>0</v>
      </c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>
        <v>0</v>
      </c>
      <c r="H516" s="24" t="s">
        <v>286</v>
      </c>
      <c r="I516" s="18">
        <v>0</v>
      </c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290207.28000000003</v>
      </c>
      <c r="G521" s="18">
        <v>95513.53</v>
      </c>
      <c r="H521" s="18">
        <v>44856.3</v>
      </c>
      <c r="I521" s="18">
        <v>3287.2</v>
      </c>
      <c r="J521" s="18">
        <v>2000</v>
      </c>
      <c r="K521" s="18">
        <v>0</v>
      </c>
      <c r="L521" s="88">
        <f>SUM(F521:K521)</f>
        <v>435864.31000000006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17243.810000000001</v>
      </c>
      <c r="G522" s="18">
        <v>11614.3</v>
      </c>
      <c r="H522" s="18">
        <v>166749.07999999999</v>
      </c>
      <c r="I522" s="18">
        <v>0</v>
      </c>
      <c r="J522" s="18">
        <v>0</v>
      </c>
      <c r="K522" s="18">
        <v>0</v>
      </c>
      <c r="L522" s="88">
        <f>SUM(F522:K522)</f>
        <v>195607.19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17243.810000000001</v>
      </c>
      <c r="G523" s="18">
        <v>11614.3</v>
      </c>
      <c r="H523" s="18">
        <v>415503.67</v>
      </c>
      <c r="I523" s="18">
        <v>0</v>
      </c>
      <c r="J523" s="18">
        <v>0</v>
      </c>
      <c r="K523" s="18">
        <v>0</v>
      </c>
      <c r="L523" s="88">
        <f>SUM(F523:K523)</f>
        <v>444361.77999999997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324694.90000000002</v>
      </c>
      <c r="G524" s="108">
        <f t="shared" ref="G524:L524" si="36">SUM(G521:G523)</f>
        <v>118742.13</v>
      </c>
      <c r="H524" s="108">
        <f t="shared" si="36"/>
        <v>627109.05000000005</v>
      </c>
      <c r="I524" s="108">
        <f t="shared" si="36"/>
        <v>3287.2</v>
      </c>
      <c r="J524" s="108">
        <f t="shared" si="36"/>
        <v>2000</v>
      </c>
      <c r="K524" s="108">
        <f t="shared" si="36"/>
        <v>0</v>
      </c>
      <c r="L524" s="89">
        <f t="shared" si="36"/>
        <v>1075833.28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67175</v>
      </c>
      <c r="G526" s="18">
        <f>29143+475+237+107+4774+11661+0.2+0.6+0.25+0.85+0.53+0.07</f>
        <v>46399.499999999993</v>
      </c>
      <c r="H526" s="18">
        <f>33965.35+4807.75+47</f>
        <v>38820.1</v>
      </c>
      <c r="I526" s="18">
        <v>0</v>
      </c>
      <c r="J526" s="18">
        <v>0</v>
      </c>
      <c r="K526" s="18">
        <v>0</v>
      </c>
      <c r="L526" s="88">
        <f>SUM(F526:K526)</f>
        <v>152394.6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0</v>
      </c>
      <c r="G528" s="18">
        <v>0</v>
      </c>
      <c r="H528" s="18">
        <v>0</v>
      </c>
      <c r="I528" s="18">
        <v>0</v>
      </c>
      <c r="J528" s="18">
        <v>0</v>
      </c>
      <c r="K528" s="18">
        <v>0</v>
      </c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67175</v>
      </c>
      <c r="G529" s="89">
        <f t="shared" ref="G529:L529" si="37">SUM(G526:G528)</f>
        <v>46399.499999999993</v>
      </c>
      <c r="H529" s="89">
        <f t="shared" si="37"/>
        <v>38820.1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152394.6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34993</v>
      </c>
      <c r="G531" s="18">
        <v>18412</v>
      </c>
      <c r="H531" s="18">
        <v>0</v>
      </c>
      <c r="I531" s="18">
        <v>0</v>
      </c>
      <c r="J531" s="18">
        <v>0</v>
      </c>
      <c r="K531" s="18">
        <v>0</v>
      </c>
      <c r="L531" s="88">
        <f>SUM(F531:K531)</f>
        <v>53405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0</v>
      </c>
      <c r="G533" s="18">
        <v>0</v>
      </c>
      <c r="H533" s="18">
        <v>0</v>
      </c>
      <c r="I533" s="18">
        <v>0</v>
      </c>
      <c r="J533" s="18">
        <v>0</v>
      </c>
      <c r="K533" s="18">
        <v>0</v>
      </c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34993</v>
      </c>
      <c r="G534" s="89">
        <f t="shared" ref="G534:L534" si="38">SUM(G531:G533)</f>
        <v>18412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53405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>
        <v>0</v>
      </c>
      <c r="G536" s="18">
        <v>0</v>
      </c>
      <c r="H536" s="18">
        <v>875</v>
      </c>
      <c r="I536" s="18">
        <v>0</v>
      </c>
      <c r="J536" s="18">
        <v>0</v>
      </c>
      <c r="K536" s="18">
        <v>0</v>
      </c>
      <c r="L536" s="88">
        <f>SUM(F536:K536)</f>
        <v>875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875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875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>
        <v>0</v>
      </c>
      <c r="G541" s="18">
        <v>0</v>
      </c>
      <c r="H541" s="18">
        <v>13305.84</v>
      </c>
      <c r="I541" s="18">
        <v>0</v>
      </c>
      <c r="J541" s="18">
        <v>0</v>
      </c>
      <c r="K541" s="18">
        <v>0</v>
      </c>
      <c r="L541" s="88">
        <f>SUM(F541:K541)</f>
        <v>13305.84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>
        <v>0</v>
      </c>
      <c r="G542" s="18">
        <v>0</v>
      </c>
      <c r="H542" s="18">
        <v>98.21</v>
      </c>
      <c r="I542" s="18">
        <v>0</v>
      </c>
      <c r="J542" s="18">
        <v>0</v>
      </c>
      <c r="K542" s="18">
        <v>0</v>
      </c>
      <c r="L542" s="88">
        <f>SUM(F542:K542)</f>
        <v>98.21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>
        <v>0</v>
      </c>
      <c r="G543" s="18">
        <v>0</v>
      </c>
      <c r="H543" s="18">
        <v>108788.21</v>
      </c>
      <c r="I543" s="18">
        <v>0</v>
      </c>
      <c r="J543" s="18">
        <v>0</v>
      </c>
      <c r="K543" s="18">
        <v>0</v>
      </c>
      <c r="L543" s="88">
        <f>SUM(F543:K543)</f>
        <v>108788.21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122192.26000000001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122192.26000000001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426862.9</v>
      </c>
      <c r="G545" s="89">
        <f t="shared" ref="G545:L545" si="41">G524+G529+G534+G539+G544</f>
        <v>183553.63</v>
      </c>
      <c r="H545" s="89">
        <f t="shared" si="41"/>
        <v>788996.41</v>
      </c>
      <c r="I545" s="89">
        <f t="shared" si="41"/>
        <v>3287.2</v>
      </c>
      <c r="J545" s="89">
        <f t="shared" si="41"/>
        <v>2000</v>
      </c>
      <c r="K545" s="89">
        <f t="shared" si="41"/>
        <v>0</v>
      </c>
      <c r="L545" s="89">
        <f t="shared" si="41"/>
        <v>1404700.1400000001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435864.31000000006</v>
      </c>
      <c r="G549" s="87">
        <f>L526</f>
        <v>152394.6</v>
      </c>
      <c r="H549" s="87">
        <f>L531</f>
        <v>53405</v>
      </c>
      <c r="I549" s="87">
        <f>L536</f>
        <v>875</v>
      </c>
      <c r="J549" s="87">
        <f>L541</f>
        <v>13305.84</v>
      </c>
      <c r="K549" s="87">
        <f>SUM(F549:J549)</f>
        <v>655844.75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195607.19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98.21</v>
      </c>
      <c r="K550" s="87">
        <f>SUM(F550:J550)</f>
        <v>195705.4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444361.77999999997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108788.21</v>
      </c>
      <c r="K551" s="87">
        <f>SUM(F551:J551)</f>
        <v>553149.99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1075833.28</v>
      </c>
      <c r="G552" s="89">
        <f t="shared" si="42"/>
        <v>152394.6</v>
      </c>
      <c r="H552" s="89">
        <f t="shared" si="42"/>
        <v>53405</v>
      </c>
      <c r="I552" s="89">
        <f t="shared" si="42"/>
        <v>875</v>
      </c>
      <c r="J552" s="89">
        <f t="shared" si="42"/>
        <v>122192.26000000001</v>
      </c>
      <c r="K552" s="89">
        <f t="shared" si="42"/>
        <v>1404700.1400000001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>
        <v>0</v>
      </c>
      <c r="G575" s="18">
        <v>0</v>
      </c>
      <c r="H575" s="18">
        <v>124446.86</v>
      </c>
      <c r="I575" s="87">
        <f>SUM(F575:H575)</f>
        <v>124446.86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>
        <v>0</v>
      </c>
      <c r="G576" s="18">
        <v>424319.22</v>
      </c>
      <c r="H576" s="18">
        <v>938534.61</v>
      </c>
      <c r="I576" s="87">
        <f t="shared" ref="I576:I587" si="47">SUM(F576:H576)</f>
        <v>1362853.83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>
        <v>0</v>
      </c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>
        <v>0</v>
      </c>
      <c r="G578" s="18">
        <v>0</v>
      </c>
      <c r="H578" s="18">
        <v>0</v>
      </c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0</v>
      </c>
      <c r="G579" s="18">
        <v>0</v>
      </c>
      <c r="H579" s="18">
        <v>85612.03</v>
      </c>
      <c r="I579" s="87">
        <f t="shared" si="47"/>
        <v>85612.03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>
        <v>0</v>
      </c>
      <c r="G580" s="18">
        <v>91191.8</v>
      </c>
      <c r="H580" s="18">
        <v>140915.04</v>
      </c>
      <c r="I580" s="87">
        <f t="shared" si="47"/>
        <v>232106.84000000003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>
        <v>0</v>
      </c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0</v>
      </c>
      <c r="G582" s="18">
        <v>75557.279999999999</v>
      </c>
      <c r="H582" s="18">
        <v>188664.1</v>
      </c>
      <c r="I582" s="87">
        <f t="shared" si="47"/>
        <v>264221.38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>
        <v>0</v>
      </c>
      <c r="G583" s="18">
        <v>0</v>
      </c>
      <c r="H583" s="18">
        <v>0</v>
      </c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>
        <v>0</v>
      </c>
      <c r="G584" s="18">
        <v>0</v>
      </c>
      <c r="H584" s="18">
        <v>0</v>
      </c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>
        <v>0</v>
      </c>
      <c r="G585" s="18">
        <v>0</v>
      </c>
      <c r="H585" s="18">
        <v>0</v>
      </c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>
        <v>0</v>
      </c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>
        <v>0</v>
      </c>
      <c r="G587" s="18">
        <v>0</v>
      </c>
      <c r="H587" s="18">
        <v>0</v>
      </c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101568</v>
      </c>
      <c r="I591" s="18">
        <f>31586+1554.23</f>
        <v>33140.230000000003</v>
      </c>
      <c r="J591" s="18">
        <f>63791+2763.07</f>
        <v>66554.070000000007</v>
      </c>
      <c r="K591" s="104">
        <f t="shared" ref="K591:K597" si="48">SUM(H591:J591)</f>
        <v>201262.30000000002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13305.84</v>
      </c>
      <c r="I592" s="18">
        <v>98.21</v>
      </c>
      <c r="J592" s="18">
        <v>108788.21</v>
      </c>
      <c r="K592" s="104">
        <f t="shared" si="48"/>
        <v>122192.26000000001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0</v>
      </c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0</v>
      </c>
      <c r="I594" s="18">
        <v>0</v>
      </c>
      <c r="J594" s="18">
        <v>0</v>
      </c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198</v>
      </c>
      <c r="I595" s="18">
        <v>0</v>
      </c>
      <c r="J595" s="18">
        <v>0</v>
      </c>
      <c r="K595" s="104">
        <f t="shared" si="48"/>
        <v>198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0</v>
      </c>
      <c r="I597" s="18">
        <v>0</v>
      </c>
      <c r="J597" s="18">
        <v>0</v>
      </c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115071.84</v>
      </c>
      <c r="I598" s="108">
        <f>SUM(I591:I597)</f>
        <v>33238.44</v>
      </c>
      <c r="J598" s="108">
        <f>SUM(J591:J597)</f>
        <v>175342.28000000003</v>
      </c>
      <c r="K598" s="108">
        <f>SUM(K591:K597)</f>
        <v>323652.56000000006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48936.65+756+18.39</f>
        <v>49711.040000000001</v>
      </c>
      <c r="I604" s="18">
        <v>0</v>
      </c>
      <c r="J604" s="18">
        <v>0</v>
      </c>
      <c r="K604" s="104">
        <f>SUM(H604:J604)</f>
        <v>49711.040000000001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49711.040000000001</v>
      </c>
      <c r="I605" s="108">
        <f>SUM(I602:I604)</f>
        <v>0</v>
      </c>
      <c r="J605" s="108">
        <f>SUM(J602:J604)</f>
        <v>0</v>
      </c>
      <c r="K605" s="108">
        <f>SUM(K602:K604)</f>
        <v>49711.040000000001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6320.34</v>
      </c>
      <c r="G611" s="18">
        <f>1524.9+743.93</f>
        <v>2268.83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8589.17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0</v>
      </c>
      <c r="G613" s="18">
        <v>0</v>
      </c>
      <c r="H613" s="18">
        <v>0</v>
      </c>
      <c r="I613" s="18">
        <v>0</v>
      </c>
      <c r="J613" s="18">
        <v>0</v>
      </c>
      <c r="K613" s="18">
        <v>0</v>
      </c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6320.34</v>
      </c>
      <c r="G614" s="108">
        <f t="shared" si="49"/>
        <v>2268.83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8589.17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1270520.19</v>
      </c>
      <c r="H617" s="109">
        <f>SUM(F52)</f>
        <v>1270520.19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331234.35000000003</v>
      </c>
      <c r="H618" s="109">
        <f>SUM(G52)</f>
        <v>331234.34999999998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486758.34</v>
      </c>
      <c r="H619" s="109">
        <f>SUM(H52)</f>
        <v>486758.34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258651.21</v>
      </c>
      <c r="H621" s="109">
        <f>SUM(J52)</f>
        <v>258651.21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287863.41000000003</v>
      </c>
      <c r="H622" s="109">
        <f>F476</f>
        <v>287863.41000000201</v>
      </c>
      <c r="I622" s="121" t="s">
        <v>101</v>
      </c>
      <c r="J622" s="109">
        <f t="shared" ref="J622:J655" si="50">G622-H622</f>
        <v>-1.9790604710578918E-9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62.3</v>
      </c>
      <c r="H623" s="109">
        <f>G476</f>
        <v>62.30000000000291</v>
      </c>
      <c r="I623" s="121" t="s">
        <v>102</v>
      </c>
      <c r="J623" s="109">
        <f t="shared" si="50"/>
        <v>-2.9132252166164108E-12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258651.21</v>
      </c>
      <c r="H626" s="109">
        <f>J476</f>
        <v>258651.21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5586458.6800000006</v>
      </c>
      <c r="H627" s="104">
        <f>SUM(F468)</f>
        <v>5586458.6800000006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43052.319999999992</v>
      </c>
      <c r="H628" s="104">
        <f>SUM(G468)</f>
        <v>43052.32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80713.920000000013</v>
      </c>
      <c r="H629" s="104">
        <f>SUM(H468)</f>
        <v>80713.919999999998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50024.15</v>
      </c>
      <c r="H631" s="104">
        <f>SUM(J468)</f>
        <v>50024.15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5579164.0399999991</v>
      </c>
      <c r="H632" s="104">
        <f>SUM(F472)</f>
        <v>5579164.0399999991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80713.919999999998</v>
      </c>
      <c r="H633" s="104">
        <f>SUM(H472)</f>
        <v>80713.919999999998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4185.87</v>
      </c>
      <c r="H634" s="104">
        <f>I369</f>
        <v>4185.87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47895.270000000004</v>
      </c>
      <c r="H635" s="104">
        <f>SUM(G472)</f>
        <v>47895.27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50024.15</v>
      </c>
      <c r="H637" s="164">
        <f>SUM(J468)</f>
        <v>50024.15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258651.21</v>
      </c>
      <c r="H639" s="104">
        <f>SUM(F461)</f>
        <v>258651.21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258651.21</v>
      </c>
      <c r="H642" s="104">
        <f>SUM(I461)</f>
        <v>258651.21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24.15</v>
      </c>
      <c r="H644" s="104">
        <f>H408</f>
        <v>24.15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50000</v>
      </c>
      <c r="H645" s="104">
        <f>G408</f>
        <v>50000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50024.15</v>
      </c>
      <c r="H646" s="104">
        <f>L408</f>
        <v>50024.15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323652.56000000006</v>
      </c>
      <c r="H647" s="104">
        <f>L208+L226+L244</f>
        <v>323652.56000000006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49711.040000000001</v>
      </c>
      <c r="H648" s="104">
        <f>(J257+J338)-(J255+J336)</f>
        <v>49711.040000000001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115071.84</v>
      </c>
      <c r="H649" s="104">
        <f>H598</f>
        <v>115071.84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33238.44</v>
      </c>
      <c r="H650" s="104">
        <f>I598</f>
        <v>33238.44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175342.28000000003</v>
      </c>
      <c r="H651" s="104">
        <f>J598</f>
        <v>175342.28000000003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12000</v>
      </c>
      <c r="H652" s="104">
        <f>K263+K345</f>
        <v>12000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50000</v>
      </c>
      <c r="H655" s="104">
        <f>K266+K347</f>
        <v>50000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3298972.2899999996</v>
      </c>
      <c r="G660" s="19">
        <f>(L229+L309+L359)</f>
        <v>658640.12999999989</v>
      </c>
      <c r="H660" s="19">
        <f>(L247+L328+L360)</f>
        <v>1688160.81</v>
      </c>
      <c r="I660" s="19">
        <f>SUM(F660:H660)</f>
        <v>5645773.2299999995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22415.159999999996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22415.159999999996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115071.84</v>
      </c>
      <c r="G662" s="19">
        <f>(L226+L306)-(J226+J306)</f>
        <v>33238.44</v>
      </c>
      <c r="H662" s="19">
        <f>(L244+L325)-(J244+J325)</f>
        <v>175342.28000000003</v>
      </c>
      <c r="I662" s="19">
        <f>SUM(F662:H662)</f>
        <v>323652.56000000006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58300.21</v>
      </c>
      <c r="G663" s="199">
        <f>SUM(G575:G587)+SUM(I602:I604)+L612</f>
        <v>591068.29999999993</v>
      </c>
      <c r="H663" s="199">
        <f>SUM(H575:H587)+SUM(J602:J604)+L613</f>
        <v>1478172.6400000001</v>
      </c>
      <c r="I663" s="19">
        <f>SUM(F663:H663)</f>
        <v>2127541.15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3103185.0799999996</v>
      </c>
      <c r="G664" s="19">
        <f>G660-SUM(G661:G663)</f>
        <v>34333.389999999898</v>
      </c>
      <c r="H664" s="19">
        <f>H660-SUM(H661:H663)</f>
        <v>34645.889999999898</v>
      </c>
      <c r="I664" s="19">
        <f>I660-SUM(I661:I663)</f>
        <v>3172164.3599999994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152.38</v>
      </c>
      <c r="G665" s="248"/>
      <c r="H665" s="248"/>
      <c r="I665" s="19">
        <f>SUM(F665:H665)</f>
        <v>152.38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20364.78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20817.46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>
        <v>-34333.39</v>
      </c>
      <c r="H669" s="18">
        <v>-34645.89</v>
      </c>
      <c r="I669" s="19">
        <f>SUM(F669:H669)</f>
        <v>-68979.28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20364.78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20364.78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3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Rollinsford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747431.84</v>
      </c>
      <c r="C9" s="229">
        <f>'DOE25'!G197+'DOE25'!G215+'DOE25'!G233+'DOE25'!G276+'DOE25'!G295+'DOE25'!G314</f>
        <v>421219.38999999996</v>
      </c>
    </row>
    <row r="10" spans="1:3" x14ac:dyDescent="0.2">
      <c r="A10" t="s">
        <v>773</v>
      </c>
      <c r="B10" s="240">
        <f>652256.38</f>
        <v>652256.38</v>
      </c>
      <c r="C10" s="240">
        <f>234136.9+6010.47+2140.8+1316.05+318.12+861.44+45923.01+91032.35+18267.1+9119</f>
        <v>409125.24</v>
      </c>
    </row>
    <row r="11" spans="1:3" x14ac:dyDescent="0.2">
      <c r="A11" t="s">
        <v>774</v>
      </c>
      <c r="B11" s="240">
        <f>40624.16+13731.6</f>
        <v>54355.76</v>
      </c>
      <c r="C11" s="240">
        <f>3107.78+372.55+2307.48+554.19+2613.23</f>
        <v>8955.23</v>
      </c>
    </row>
    <row r="12" spans="1:3" x14ac:dyDescent="0.2">
      <c r="A12" t="s">
        <v>775</v>
      </c>
      <c r="B12" s="240">
        <v>40819.699999999997</v>
      </c>
      <c r="C12" s="240">
        <f>3123+15.92</f>
        <v>3138.92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747431.84</v>
      </c>
      <c r="C13" s="231">
        <f>SUM(C10:C12)</f>
        <v>421219.38999999996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329501.30000000005</v>
      </c>
      <c r="C18" s="229">
        <f>'DOE25'!G198+'DOE25'!G216+'DOE25'!G234+'DOE25'!G277+'DOE25'!G296+'DOE25'!G315</f>
        <v>119680.82000000004</v>
      </c>
    </row>
    <row r="19" spans="1:3" x14ac:dyDescent="0.2">
      <c r="A19" t="s">
        <v>773</v>
      </c>
      <c r="B19" s="240">
        <f>104462.38+17243.81+17243.81</f>
        <v>138950</v>
      </c>
      <c r="C19" s="240">
        <f>34684.68+7175.08+7175.08+702+113.4+113.4+367.84+60.72+60.72+160.82+26.84+26.84+7680.44+1244.78+1244.78+18134.85+2993.48+2993.48</f>
        <v>84959.229999999981</v>
      </c>
    </row>
    <row r="20" spans="1:3" x14ac:dyDescent="0.2">
      <c r="A20" t="s">
        <v>774</v>
      </c>
      <c r="B20" s="240">
        <f>30007.91+150098.04+5638.95</f>
        <v>185744.90000000002</v>
      </c>
      <c r="C20" s="240">
        <f>2295.65+11491.74+743.93+49.63+2536.42+15066.81+73.82+1524.9</f>
        <v>33782.9</v>
      </c>
    </row>
    <row r="21" spans="1:3" x14ac:dyDescent="0.2">
      <c r="A21" t="s">
        <v>775</v>
      </c>
      <c r="B21" s="240">
        <v>4806.3999999999996</v>
      </c>
      <c r="C21" s="240">
        <v>938.69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329501.30000000005</v>
      </c>
      <c r="C22" s="231">
        <f>SUM(C19:C21)</f>
        <v>119680.81999999998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>
        <v>0</v>
      </c>
      <c r="C28" s="240">
        <v>0</v>
      </c>
    </row>
    <row r="29" spans="1:3" x14ac:dyDescent="0.2">
      <c r="A29" t="s">
        <v>774</v>
      </c>
      <c r="B29" s="240">
        <v>0</v>
      </c>
      <c r="C29" s="240">
        <v>0</v>
      </c>
    </row>
    <row r="30" spans="1:3" x14ac:dyDescent="0.2">
      <c r="A30" t="s">
        <v>775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773</v>
      </c>
      <c r="B37" s="240">
        <v>0</v>
      </c>
      <c r="C37" s="240">
        <v>0</v>
      </c>
    </row>
    <row r="38" spans="1:3" x14ac:dyDescent="0.2">
      <c r="A38" t="s">
        <v>774</v>
      </c>
      <c r="B38" s="240">
        <v>0</v>
      </c>
      <c r="C38" s="240">
        <v>0</v>
      </c>
    </row>
    <row r="39" spans="1:3" x14ac:dyDescent="0.2">
      <c r="A39" t="s">
        <v>775</v>
      </c>
      <c r="B39" s="240">
        <v>0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Rollinsford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3845555.44</v>
      </c>
      <c r="D5" s="20">
        <f>SUM('DOE25'!L197:L200)+SUM('DOE25'!L215:L218)+SUM('DOE25'!L233:L236)-F5-G5</f>
        <v>3800262.89</v>
      </c>
      <c r="E5" s="243"/>
      <c r="F5" s="255">
        <f>SUM('DOE25'!J197:J200)+SUM('DOE25'!J215:J218)+SUM('DOE25'!J233:J236)</f>
        <v>45292.55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795</v>
      </c>
      <c r="C6" s="245">
        <f t="shared" si="0"/>
        <v>350250.02</v>
      </c>
      <c r="D6" s="20">
        <f>'DOE25'!L202+'DOE25'!L220+'DOE25'!L238-F6-G6</f>
        <v>350250.02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64368.66</v>
      </c>
      <c r="D7" s="20">
        <f>'DOE25'!L203+'DOE25'!L221+'DOE25'!L239-F7-G7</f>
        <v>61456.51</v>
      </c>
      <c r="E7" s="243"/>
      <c r="F7" s="255">
        <f>'DOE25'!J203+'DOE25'!J221+'DOE25'!J239</f>
        <v>727.5</v>
      </c>
      <c r="G7" s="53">
        <f>'DOE25'!K203+'DOE25'!K221+'DOE25'!K239</f>
        <v>2184.65</v>
      </c>
      <c r="H7" s="259"/>
    </row>
    <row r="8" spans="1:9" x14ac:dyDescent="0.2">
      <c r="A8" s="32">
        <v>2300</v>
      </c>
      <c r="B8" t="s">
        <v>796</v>
      </c>
      <c r="C8" s="245">
        <f t="shared" si="0"/>
        <v>108127.41999999998</v>
      </c>
      <c r="D8" s="243"/>
      <c r="E8" s="20">
        <f>'DOE25'!L204+'DOE25'!L222+'DOE25'!L240-F8-G8-D9-D11</f>
        <v>105118.11999999998</v>
      </c>
      <c r="F8" s="255">
        <f>'DOE25'!J204+'DOE25'!J222+'DOE25'!J240</f>
        <v>0</v>
      </c>
      <c r="G8" s="53">
        <f>'DOE25'!K204+'DOE25'!K222+'DOE25'!K240</f>
        <v>3009.3</v>
      </c>
      <c r="H8" s="259"/>
    </row>
    <row r="9" spans="1:9" x14ac:dyDescent="0.2">
      <c r="A9" s="32">
        <v>2310</v>
      </c>
      <c r="B9" t="s">
        <v>812</v>
      </c>
      <c r="C9" s="245">
        <f t="shared" si="0"/>
        <v>19951.850000000002</v>
      </c>
      <c r="D9" s="244">
        <f>3009.3+14031.11+2678.24+218.2+15</f>
        <v>19951.850000000002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12250</v>
      </c>
      <c r="D10" s="243"/>
      <c r="E10" s="244">
        <v>12250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59674.7</v>
      </c>
      <c r="D11" s="244">
        <v>59674.7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236317.11000000002</v>
      </c>
      <c r="D12" s="20">
        <f>'DOE25'!L205+'DOE25'!L223+'DOE25'!L241-F12-G12</f>
        <v>236317.11000000002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509266.28</v>
      </c>
      <c r="D14" s="20">
        <f>'DOE25'!L207+'DOE25'!L225+'DOE25'!L243-F14-G14</f>
        <v>506349.68000000005</v>
      </c>
      <c r="E14" s="243"/>
      <c r="F14" s="255">
        <f>'DOE25'!J207+'DOE25'!J225+'DOE25'!J243</f>
        <v>2916.6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323652.56000000006</v>
      </c>
      <c r="D15" s="20">
        <f>'DOE25'!L208+'DOE25'!L226+'DOE25'!L244-F15-G15</f>
        <v>323652.56000000006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47895.270000000004</v>
      </c>
      <c r="D29" s="20">
        <f>'DOE25'!L358+'DOE25'!L359+'DOE25'!L360-'DOE25'!I367-F29-G29</f>
        <v>47895.270000000004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80713.919999999998</v>
      </c>
      <c r="D31" s="20">
        <f>'DOE25'!L290+'DOE25'!L309+'DOE25'!L328+'DOE25'!L333+'DOE25'!L334+'DOE25'!L335-F31-G31</f>
        <v>78877.61</v>
      </c>
      <c r="E31" s="243"/>
      <c r="F31" s="255">
        <f>'DOE25'!J290+'DOE25'!J309+'DOE25'!J328+'DOE25'!J333+'DOE25'!J334+'DOE25'!J335</f>
        <v>774.39</v>
      </c>
      <c r="G31" s="53">
        <f>'DOE25'!K290+'DOE25'!K309+'DOE25'!K328+'DOE25'!K333+'DOE25'!K334+'DOE25'!K335</f>
        <v>1061.92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5484688.2000000002</v>
      </c>
      <c r="E33" s="246">
        <f>SUM(E5:E31)</f>
        <v>117368.11999999998</v>
      </c>
      <c r="F33" s="246">
        <f>SUM(F5:F31)</f>
        <v>49711.040000000001</v>
      </c>
      <c r="G33" s="246">
        <f>SUM(G5:G31)</f>
        <v>6255.8700000000008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117368.11999999998</v>
      </c>
      <c r="E35" s="249"/>
    </row>
    <row r="36" spans="2:8" ht="12" thickTop="1" x14ac:dyDescent="0.2">
      <c r="B36" t="s">
        <v>809</v>
      </c>
      <c r="D36" s="20">
        <f>D33</f>
        <v>5484688.2000000002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32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Rollinsford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434206.98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1099.1199999999999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258651.21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833322.07000000007</v>
      </c>
      <c r="D11" s="95">
        <f>'DOE25'!G12</f>
        <v>328241.76</v>
      </c>
      <c r="E11" s="95">
        <f>'DOE25'!H12</f>
        <v>424931.92000000004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1057.3800000000001</v>
      </c>
      <c r="E12" s="95">
        <f>'DOE25'!H13</f>
        <v>61826.42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1892.02</v>
      </c>
      <c r="D13" s="95">
        <f>'DOE25'!G14</f>
        <v>1935.21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1270520.19</v>
      </c>
      <c r="D18" s="41">
        <f>SUM(D8:D17)</f>
        <v>331234.35000000003</v>
      </c>
      <c r="E18" s="41">
        <f>SUM(E8:E17)</f>
        <v>486758.34</v>
      </c>
      <c r="F18" s="41">
        <f>SUM(F8:F17)</f>
        <v>0</v>
      </c>
      <c r="G18" s="41">
        <f>SUM(G8:G17)</f>
        <v>258651.21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779083.15</v>
      </c>
      <c r="D21" s="95">
        <f>'DOE25'!G22</f>
        <v>329745.26</v>
      </c>
      <c r="E21" s="95">
        <f>'DOE25'!H22</f>
        <v>477667.34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203573.63</v>
      </c>
      <c r="D23" s="95">
        <f>'DOE25'!G24</f>
        <v>0</v>
      </c>
      <c r="E23" s="95">
        <f>'DOE25'!H24</f>
        <v>8486.4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604.6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1426.79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982656.78</v>
      </c>
      <c r="D31" s="41">
        <f>SUM(D21:D30)</f>
        <v>331172.05</v>
      </c>
      <c r="E31" s="41">
        <f>SUM(E21:E30)</f>
        <v>486758.34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75001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97193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258651.21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62.3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115669.41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287863.41000000003</v>
      </c>
      <c r="D50" s="41">
        <f>SUM(D34:D49)</f>
        <v>62.3</v>
      </c>
      <c r="E50" s="41">
        <f>SUM(E34:E49)</f>
        <v>0</v>
      </c>
      <c r="F50" s="41">
        <f>SUM(F34:F49)</f>
        <v>0</v>
      </c>
      <c r="G50" s="41">
        <f>SUM(G34:G49)</f>
        <v>258651.21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1270520.19</v>
      </c>
      <c r="D51" s="41">
        <f>D50+D31</f>
        <v>331234.34999999998</v>
      </c>
      <c r="E51" s="41">
        <f>E50+E31</f>
        <v>486758.34</v>
      </c>
      <c r="F51" s="41">
        <f>F50+F31</f>
        <v>0</v>
      </c>
      <c r="G51" s="41">
        <f>G50+G31</f>
        <v>258651.21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4314874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73.510000000000005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24.15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22415.159999999996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2485.1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2558.61</v>
      </c>
      <c r="D62" s="130">
        <f>SUM(D57:D61)</f>
        <v>22415.159999999996</v>
      </c>
      <c r="E62" s="130">
        <f>SUM(E57:E61)</f>
        <v>0</v>
      </c>
      <c r="F62" s="130">
        <f>SUM(F57:F61)</f>
        <v>0</v>
      </c>
      <c r="G62" s="130">
        <f>SUM(G57:G61)</f>
        <v>24.15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4317432.6100000003</v>
      </c>
      <c r="D63" s="22">
        <f>D56+D62</f>
        <v>22415.159999999996</v>
      </c>
      <c r="E63" s="22">
        <f>E56+E62</f>
        <v>0</v>
      </c>
      <c r="F63" s="22">
        <f>F56+F62</f>
        <v>0</v>
      </c>
      <c r="G63" s="22">
        <f>G56+G62</f>
        <v>24.15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652412.93999999994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544779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1197191.94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48936.34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548.41999999999996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48936.34</v>
      </c>
      <c r="D78" s="130">
        <f>SUM(D72:D77)</f>
        <v>548.41999999999996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1246128.28</v>
      </c>
      <c r="D81" s="130">
        <f>SUM(D79:D80)+D78+D70</f>
        <v>548.41999999999996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22897.79</v>
      </c>
      <c r="D88" s="95">
        <f>SUM('DOE25'!G153:G161)</f>
        <v>8088.74</v>
      </c>
      <c r="E88" s="95">
        <f>SUM('DOE25'!H153:H161)</f>
        <v>80713.920000000013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22897.79</v>
      </c>
      <c r="D91" s="131">
        <f>SUM(D85:D90)</f>
        <v>8088.74</v>
      </c>
      <c r="E91" s="131">
        <f>SUM(E85:E90)</f>
        <v>80713.920000000013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12000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12000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759</v>
      </c>
      <c r="C104" s="86">
        <f>C63+C81+C91+C103</f>
        <v>5586458.6800000006</v>
      </c>
      <c r="D104" s="86">
        <f>D63+D81+D91+D103</f>
        <v>43052.319999999992</v>
      </c>
      <c r="E104" s="86">
        <f>E63+E81+E91+E103</f>
        <v>80713.920000000013</v>
      </c>
      <c r="F104" s="86">
        <f>F63+F81+F91+F103</f>
        <v>0</v>
      </c>
      <c r="G104" s="86">
        <f>G63+G81+G103</f>
        <v>50024.15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2769722.16</v>
      </c>
      <c r="D109" s="24" t="s">
        <v>286</v>
      </c>
      <c r="E109" s="95">
        <f>('DOE25'!L276)+('DOE25'!L295)+('DOE25'!L314)</f>
        <v>19489.11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1075833.28</v>
      </c>
      <c r="D110" s="24" t="s">
        <v>286</v>
      </c>
      <c r="E110" s="95">
        <f>('DOE25'!L277)+('DOE25'!L296)+('DOE25'!L315)</f>
        <v>6183.4800000000005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3845555.4400000004</v>
      </c>
      <c r="D115" s="86">
        <f>SUM(D109:D114)</f>
        <v>0</v>
      </c>
      <c r="E115" s="86">
        <f>SUM(E109:E114)</f>
        <v>25672.59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350250.02</v>
      </c>
      <c r="D118" s="24" t="s">
        <v>286</v>
      </c>
      <c r="E118" s="95">
        <f>+('DOE25'!L281)+('DOE25'!L300)+('DOE25'!L319)</f>
        <v>36536.460000000006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64368.66</v>
      </c>
      <c r="D119" s="24" t="s">
        <v>286</v>
      </c>
      <c r="E119" s="95">
        <f>+('DOE25'!L282)+('DOE25'!L301)+('DOE25'!L320)</f>
        <v>14172.34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187753.96999999997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236317.11000000002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4332.5300000000007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509266.28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323652.56000000006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47895.270000000004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1671608.6</v>
      </c>
      <c r="D128" s="86">
        <f>SUM(D118:D127)</f>
        <v>47895.270000000004</v>
      </c>
      <c r="E128" s="86">
        <f>SUM(E118:E127)</f>
        <v>55041.33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12000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50024.15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-24.150000000001455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62000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5579164.040000001</v>
      </c>
      <c r="D145" s="86">
        <f>(D115+D128+D144)</f>
        <v>47895.270000000004</v>
      </c>
      <c r="E145" s="86">
        <f>(E115+E128+E144)</f>
        <v>80713.919999999998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</v>
      </c>
      <c r="C152" s="152" t="str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</v>
      </c>
      <c r="C153" s="152" t="str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Rollinsford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20365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20365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2789211</v>
      </c>
      <c r="D10" s="182">
        <f>ROUND((C10/$C$28)*100,1)</f>
        <v>49.6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1082017</v>
      </c>
      <c r="D11" s="182">
        <f>ROUND((C11/$C$28)*100,1)</f>
        <v>19.2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386786</v>
      </c>
      <c r="D15" s="182">
        <f t="shared" ref="D15:D27" si="0">ROUND((C15/$C$28)*100,1)</f>
        <v>6.9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78541</v>
      </c>
      <c r="D16" s="182">
        <f t="shared" si="0"/>
        <v>1.4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187754</v>
      </c>
      <c r="D17" s="182">
        <f t="shared" si="0"/>
        <v>3.3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236317</v>
      </c>
      <c r="D18" s="182">
        <f t="shared" si="0"/>
        <v>4.2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4333</v>
      </c>
      <c r="D19" s="182">
        <f t="shared" si="0"/>
        <v>0.1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509266</v>
      </c>
      <c r="D20" s="182">
        <f t="shared" si="0"/>
        <v>9.1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323653</v>
      </c>
      <c r="D21" s="182">
        <f t="shared" si="0"/>
        <v>5.8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25479.840000000004</v>
      </c>
      <c r="D27" s="182">
        <f t="shared" si="0"/>
        <v>0.5</v>
      </c>
    </row>
    <row r="28" spans="1:4" x14ac:dyDescent="0.2">
      <c r="B28" s="187" t="s">
        <v>717</v>
      </c>
      <c r="C28" s="180">
        <f>SUM(C10:C27)</f>
        <v>5623357.8399999999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5623357.8399999999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4314874</v>
      </c>
      <c r="D35" s="182">
        <f t="shared" ref="D35:D40" si="1">ROUND((C35/$C$41)*100,1)</f>
        <v>76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2582.7600000007078</v>
      </c>
      <c r="D36" s="182">
        <f t="shared" si="1"/>
        <v>0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1197192</v>
      </c>
      <c r="D37" s="182">
        <f t="shared" si="1"/>
        <v>21.1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49485</v>
      </c>
      <c r="D38" s="182">
        <f t="shared" si="1"/>
        <v>0.9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111700</v>
      </c>
      <c r="D39" s="182">
        <f t="shared" si="1"/>
        <v>2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5675833.7600000007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Rollinsford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2018-06-15T13:33:46Z</cp:lastPrinted>
  <dcterms:created xsi:type="dcterms:W3CDTF">1997-12-04T19:04:30Z</dcterms:created>
  <dcterms:modified xsi:type="dcterms:W3CDTF">2018-12-10T12:47:39Z</dcterms:modified>
</cp:coreProperties>
</file>