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2380" windowHeight="53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1" i="10"/>
  <c r="C16" i="10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D115" i="2"/>
  <c r="F115" i="2"/>
  <c r="G115" i="2"/>
  <c r="C119" i="2"/>
  <c r="E119" i="2"/>
  <c r="E120" i="2"/>
  <c r="C121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G641" i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I257" i="1"/>
  <c r="G257" i="1"/>
  <c r="G271" i="1" s="1"/>
  <c r="D62" i="2"/>
  <c r="D63" i="2" s="1"/>
  <c r="D18" i="2"/>
  <c r="D50" i="2"/>
  <c r="G156" i="2"/>
  <c r="D91" i="2"/>
  <c r="G62" i="2"/>
  <c r="D19" i="13"/>
  <c r="C19" i="13" s="1"/>
  <c r="J617" i="1"/>
  <c r="E78" i="2"/>
  <c r="E81" i="2" s="1"/>
  <c r="K605" i="1"/>
  <c r="G648" i="1" s="1"/>
  <c r="J571" i="1"/>
  <c r="D81" i="2"/>
  <c r="I169" i="1"/>
  <c r="J476" i="1"/>
  <c r="H626" i="1" s="1"/>
  <c r="F476" i="1"/>
  <c r="H622" i="1" s="1"/>
  <c r="J622" i="1" s="1"/>
  <c r="G338" i="1"/>
  <c r="G352" i="1" s="1"/>
  <c r="J140" i="1"/>
  <c r="G22" i="2"/>
  <c r="J552" i="1"/>
  <c r="H552" i="1"/>
  <c r="H140" i="1"/>
  <c r="J640" i="1"/>
  <c r="F338" i="1"/>
  <c r="F352" i="1" s="1"/>
  <c r="H192" i="1"/>
  <c r="F552" i="1"/>
  <c r="E16" i="13"/>
  <c r="C16" i="13" s="1"/>
  <c r="L570" i="1"/>
  <c r="I571" i="1"/>
  <c r="G36" i="2"/>
  <c r="L565" i="1"/>
  <c r="H545" i="1"/>
  <c r="J644" i="1" l="1"/>
  <c r="G545" i="1"/>
  <c r="I545" i="1"/>
  <c r="H476" i="1"/>
  <c r="H624" i="1" s="1"/>
  <c r="G476" i="1"/>
  <c r="H623" i="1" s="1"/>
  <c r="L401" i="1"/>
  <c r="C139" i="2" s="1"/>
  <c r="J655" i="1"/>
  <c r="C20" i="10"/>
  <c r="D7" i="13"/>
  <c r="C7" i="13" s="1"/>
  <c r="D5" i="13"/>
  <c r="C5" i="13" s="1"/>
  <c r="C91" i="2"/>
  <c r="C70" i="2"/>
  <c r="J623" i="1"/>
  <c r="J624" i="1"/>
  <c r="E31" i="2"/>
  <c r="E57" i="2"/>
  <c r="E62" i="2" s="1"/>
  <c r="E63" i="2" s="1"/>
  <c r="H112" i="1"/>
  <c r="C35" i="10"/>
  <c r="C56" i="2"/>
  <c r="E118" i="2"/>
  <c r="L290" i="1"/>
  <c r="C10" i="10"/>
  <c r="E109" i="2"/>
  <c r="E115" i="2" s="1"/>
  <c r="H661" i="1"/>
  <c r="D29" i="13"/>
  <c r="C29" i="13" s="1"/>
  <c r="F661" i="1"/>
  <c r="I661" i="1" s="1"/>
  <c r="C122" i="2"/>
  <c r="E13" i="13"/>
  <c r="C13" i="13" s="1"/>
  <c r="C19" i="10"/>
  <c r="H25" i="13"/>
  <c r="J645" i="1"/>
  <c r="H169" i="1"/>
  <c r="L393" i="1"/>
  <c r="C138" i="2" s="1"/>
  <c r="D127" i="2"/>
  <c r="D128" i="2" s="1"/>
  <c r="D145" i="2" s="1"/>
  <c r="C18" i="10"/>
  <c r="L229" i="1"/>
  <c r="G660" i="1" s="1"/>
  <c r="G664" i="1" s="1"/>
  <c r="F112" i="1"/>
  <c r="J641" i="1"/>
  <c r="F571" i="1"/>
  <c r="L560" i="1"/>
  <c r="E142" i="2"/>
  <c r="C132" i="2"/>
  <c r="I551" i="1"/>
  <c r="K551" i="1" s="1"/>
  <c r="L539" i="1"/>
  <c r="G549" i="1"/>
  <c r="L529" i="1"/>
  <c r="E134" i="2"/>
  <c r="L351" i="1"/>
  <c r="F130" i="2"/>
  <c r="F144" i="2" s="1"/>
  <c r="F145" i="2" s="1"/>
  <c r="E33" i="13"/>
  <c r="D35" i="13" s="1"/>
  <c r="H663" i="1"/>
  <c r="L614" i="1"/>
  <c r="F22" i="13"/>
  <c r="C22" i="13" s="1"/>
  <c r="E130" i="2"/>
  <c r="E144" i="2" s="1"/>
  <c r="E122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5" i="10"/>
  <c r="C12" i="10"/>
  <c r="C111" i="2"/>
  <c r="J545" i="1"/>
  <c r="L427" i="1"/>
  <c r="E103" i="2"/>
  <c r="L211" i="1"/>
  <c r="L257" i="1" s="1"/>
  <c r="A13" i="12"/>
  <c r="D17" i="13"/>
  <c r="C17" i="13" s="1"/>
  <c r="D14" i="13"/>
  <c r="C14" i="13" s="1"/>
  <c r="L247" i="1"/>
  <c r="H660" i="1" s="1"/>
  <c r="H664" i="1" s="1"/>
  <c r="C17" i="10"/>
  <c r="J651" i="1"/>
  <c r="J639" i="1"/>
  <c r="K598" i="1"/>
  <c r="G647" i="1" s="1"/>
  <c r="J647" i="1" s="1"/>
  <c r="K571" i="1"/>
  <c r="L534" i="1"/>
  <c r="H257" i="1"/>
  <c r="H271" i="1" s="1"/>
  <c r="J257" i="1"/>
  <c r="J271" i="1" s="1"/>
  <c r="I52" i="1"/>
  <c r="H620" i="1" s="1"/>
  <c r="G625" i="1"/>
  <c r="J625" i="1" s="1"/>
  <c r="B164" i="2"/>
  <c r="G164" i="2" s="1"/>
  <c r="K503" i="1"/>
  <c r="C123" i="2"/>
  <c r="C114" i="2"/>
  <c r="C78" i="2"/>
  <c r="C81" i="2" s="1"/>
  <c r="C18" i="2"/>
  <c r="L270" i="1"/>
  <c r="L544" i="1"/>
  <c r="L524" i="1"/>
  <c r="J338" i="1"/>
  <c r="J352" i="1" s="1"/>
  <c r="C120" i="2"/>
  <c r="C13" i="10"/>
  <c r="I271" i="1"/>
  <c r="L382" i="1"/>
  <c r="G636" i="1" s="1"/>
  <c r="J636" i="1" s="1"/>
  <c r="K352" i="1"/>
  <c r="C62" i="2"/>
  <c r="C63" i="2" s="1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I663" i="1"/>
  <c r="C27" i="10"/>
  <c r="G635" i="1"/>
  <c r="J635" i="1" s="1"/>
  <c r="G104" i="2" l="1"/>
  <c r="F104" i="2"/>
  <c r="L545" i="1"/>
  <c r="E128" i="2"/>
  <c r="E145" i="2" s="1"/>
  <c r="L271" i="1"/>
  <c r="G632" i="1" s="1"/>
  <c r="J632" i="1" s="1"/>
  <c r="C115" i="2"/>
  <c r="C128" i="2"/>
  <c r="H193" i="1"/>
  <c r="G629" i="1" s="1"/>
  <c r="J629" i="1" s="1"/>
  <c r="E104" i="2"/>
  <c r="C104" i="2"/>
  <c r="C36" i="10"/>
  <c r="H667" i="1"/>
  <c r="H672" i="1"/>
  <c r="C6" i="10" s="1"/>
  <c r="G672" i="1"/>
  <c r="C5" i="10" s="1"/>
  <c r="G667" i="1"/>
  <c r="C25" i="13"/>
  <c r="H33" i="13"/>
  <c r="F660" i="1"/>
  <c r="H648" i="1"/>
  <c r="J648" i="1" s="1"/>
  <c r="C39" i="10"/>
  <c r="C28" i="10"/>
  <c r="D24" i="10" s="1"/>
  <c r="D31" i="13"/>
  <c r="C31" i="13" s="1"/>
  <c r="C145" i="2"/>
  <c r="F33" i="13"/>
  <c r="I552" i="1"/>
  <c r="L338" i="1"/>
  <c r="L352" i="1" s="1"/>
  <c r="G633" i="1" s="1"/>
  <c r="J633" i="1" s="1"/>
  <c r="G552" i="1"/>
  <c r="K549" i="1"/>
  <c r="K55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33" i="13" l="1"/>
  <c r="D36" i="13" s="1"/>
  <c r="D27" i="10"/>
  <c r="D10" i="10"/>
  <c r="D13" i="10"/>
  <c r="D26" i="10"/>
  <c r="D11" i="10"/>
  <c r="D20" i="10"/>
  <c r="D18" i="10"/>
  <c r="D15" i="10"/>
  <c r="D17" i="10"/>
  <c r="C30" i="10"/>
  <c r="D21" i="10"/>
  <c r="D16" i="10"/>
  <c r="D22" i="10"/>
  <c r="D25" i="10"/>
  <c r="D12" i="10"/>
  <c r="D19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<sst xmlns="http://schemas.openxmlformats.org/spreadsheetml/2006/main" count="3957" uniqueCount="913">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</sst>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E665" sqref="E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467</v>
      </c>
      <c r="C2" s="21">
        <v>467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164031.04000000001</v>
      </c>
      <c r="G9" s="18">
        <v>7351.53</v>
      </c>
      <c r="H9" s="18">
        <v>-31038.89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1094085.48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15455.17</v>
      </c>
      <c r="G13" s="18">
        <v>5014.54</v>
      </c>
      <c r="H13" s="18">
        <v>44463.3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2545.6</v>
      </c>
      <c r="G14" s="18">
        <v>60.1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1301.28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183333.09000000003</v>
      </c>
      <c r="G19" s="41">
        <f>SUM(G9:G18)</f>
        <v>12426.17</v>
      </c>
      <c r="H19" s="41">
        <f>SUM(H9:H18)</f>
        <v>13424.410000000003</v>
      </c>
      <c r="I19" s="41">
        <f>SUM(I9:I18)</f>
        <v>0</v>
      </c>
      <c r="J19" s="41">
        <f>SUM(J9:J18)</f>
        <v>1094085.48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23458.9</v>
      </c>
      <c r="G24" s="18">
        <v>11295</v>
      </c>
      <c r="H24" s="18">
        <v>12069.41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1355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23458.9</v>
      </c>
      <c r="G32" s="41">
        <f>SUM(G22:G31)</f>
        <v>11295</v>
      </c>
      <c r="H32" s="41">
        <f>SUM(H22:H31)</f>
        <v>13424.41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70036.789999999994</v>
      </c>
      <c r="G45" s="18"/>
      <c r="H45" s="18">
        <v>1553.25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1131.17</v>
      </c>
      <c r="H48" s="18">
        <v>-1553.25</v>
      </c>
      <c r="I48" s="18"/>
      <c r="J48" s="13">
        <f>SUM(I459)</f>
        <v>1094085.48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14837.4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159874.18999999997</v>
      </c>
      <c r="G51" s="41">
        <f>SUM(G35:G50)</f>
        <v>1131.17</v>
      </c>
      <c r="H51" s="41">
        <f>SUM(H35:H50)</f>
        <v>0</v>
      </c>
      <c r="I51" s="41">
        <f>SUM(I35:I50)</f>
        <v>0</v>
      </c>
      <c r="J51" s="41">
        <f>SUM(J35:J50)</f>
        <v>1094085.48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183333.08999999997</v>
      </c>
      <c r="G52" s="41">
        <f>G51+G32</f>
        <v>12426.17</v>
      </c>
      <c r="H52" s="41">
        <f>H51+H32</f>
        <v>13424.41</v>
      </c>
      <c r="I52" s="41">
        <f>I51+I32</f>
        <v>0</v>
      </c>
      <c r="J52" s="41">
        <f>J51+J32</f>
        <v>1094085.48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1944020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1944020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192.77</v>
      </c>
      <c r="G96" s="18"/>
      <c r="H96" s="18"/>
      <c r="I96" s="18"/>
      <c r="J96" s="18">
        <v>11714.68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19495.28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5694.94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10081.65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15969.36</v>
      </c>
      <c r="G111" s="41">
        <f>SUM(G96:G110)</f>
        <v>19495.28</v>
      </c>
      <c r="H111" s="41">
        <f>SUM(H96:H110)</f>
        <v>0</v>
      </c>
      <c r="I111" s="41">
        <f>SUM(I96:I110)</f>
        <v>0</v>
      </c>
      <c r="J111" s="41">
        <f>SUM(J96:J110)</f>
        <v>11714.68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1959989.36</v>
      </c>
      <c r="G112" s="41">
        <f>G60+G111</f>
        <v>19495.28</v>
      </c>
      <c r="H112" s="41">
        <f>H60+H79+H94+H111</f>
        <v>0</v>
      </c>
      <c r="I112" s="41">
        <f>I60+I111</f>
        <v>0</v>
      </c>
      <c r="J112" s="41">
        <f>J60+J111</f>
        <v>11714.68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471150.85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263122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5057.87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739330.72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668.86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668.86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739330.72</v>
      </c>
      <c r="G140" s="41">
        <f>G121+SUM(G136:G137)</f>
        <v>668.86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104484.62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148189.29999999999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78633.16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28405.89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1477.5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28405.89</v>
      </c>
      <c r="G162" s="41">
        <f>SUM(G150:G161)</f>
        <v>78633.16</v>
      </c>
      <c r="H162" s="41">
        <f>SUM(H150:H161)</f>
        <v>254151.41999999998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5882.52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34288.410000000003</v>
      </c>
      <c r="G169" s="41">
        <f>G147+G162+SUM(G163:G168)</f>
        <v>78633.16</v>
      </c>
      <c r="H169" s="41">
        <f>H147+H162+SUM(H163:H168)</f>
        <v>254151.41999999998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2000</v>
      </c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2735608.49</v>
      </c>
      <c r="G193" s="47">
        <f>G112+G140+G169+G192</f>
        <v>98797.3</v>
      </c>
      <c r="H193" s="47">
        <f>H112+H140+H169+H192</f>
        <v>254151.41999999998</v>
      </c>
      <c r="I193" s="47">
        <f>I112+I140+I169+I192</f>
        <v>0</v>
      </c>
      <c r="J193" s="47">
        <f>J112+J140+J192</f>
        <v>236714.68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643885.38</v>
      </c>
      <c r="G197" s="18">
        <v>373451.18</v>
      </c>
      <c r="H197" s="18">
        <v>2485.4499999999998</v>
      </c>
      <c r="I197" s="18">
        <v>25866.73</v>
      </c>
      <c r="J197" s="18">
        <v>2974.69</v>
      </c>
      <c r="K197" s="18">
        <v>14704.94</v>
      </c>
      <c r="L197" s="19">
        <f>SUM(F197:K197)</f>
        <v>1063368.3699999999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194346.84</v>
      </c>
      <c r="G198" s="18">
        <v>63037.27</v>
      </c>
      <c r="H198" s="18">
        <v>121309.06</v>
      </c>
      <c r="I198" s="18">
        <v>1097.1400000000001</v>
      </c>
      <c r="J198" s="18">
        <v>290.99</v>
      </c>
      <c r="K198" s="18"/>
      <c r="L198" s="19">
        <f>SUM(F198:K198)</f>
        <v>380081.3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52029.13</v>
      </c>
      <c r="G200" s="18">
        <v>12344.14</v>
      </c>
      <c r="H200" s="18">
        <v>3938.35</v>
      </c>
      <c r="I200" s="18">
        <v>1457.12</v>
      </c>
      <c r="J200" s="18"/>
      <c r="K200" s="18">
        <v>95</v>
      </c>
      <c r="L200" s="19">
        <f>SUM(F200:K200)</f>
        <v>69863.739999999991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40900</v>
      </c>
      <c r="G202" s="18">
        <v>34001.06</v>
      </c>
      <c r="H202" s="18">
        <v>186725.41</v>
      </c>
      <c r="I202" s="18">
        <v>4627.55</v>
      </c>
      <c r="J202" s="18"/>
      <c r="K202" s="18"/>
      <c r="L202" s="19">
        <f t="shared" ref="L202:L208" si="0">SUM(F202:K202)</f>
        <v>266254.02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140</v>
      </c>
      <c r="G203" s="18">
        <v>2973.67</v>
      </c>
      <c r="H203" s="18">
        <v>1999.72</v>
      </c>
      <c r="I203" s="18">
        <v>2528.42</v>
      </c>
      <c r="J203" s="18">
        <v>1002.54</v>
      </c>
      <c r="K203" s="18"/>
      <c r="L203" s="19">
        <f t="shared" si="0"/>
        <v>8644.35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5200</v>
      </c>
      <c r="G204" s="18">
        <v>395.69</v>
      </c>
      <c r="H204" s="18">
        <v>88945.58</v>
      </c>
      <c r="I204" s="18">
        <v>26.09</v>
      </c>
      <c r="J204" s="18"/>
      <c r="K204" s="18">
        <v>6362.47</v>
      </c>
      <c r="L204" s="19">
        <f t="shared" si="0"/>
        <v>100929.83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130029.2</v>
      </c>
      <c r="G205" s="18">
        <v>72803.55</v>
      </c>
      <c r="H205" s="18">
        <v>1295.82</v>
      </c>
      <c r="I205" s="18">
        <v>2637.55</v>
      </c>
      <c r="J205" s="18"/>
      <c r="K205" s="18">
        <v>1079.71</v>
      </c>
      <c r="L205" s="19">
        <f t="shared" si="0"/>
        <v>207845.83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73207.88</v>
      </c>
      <c r="G207" s="18">
        <v>38358.25</v>
      </c>
      <c r="H207" s="18">
        <v>70349.11</v>
      </c>
      <c r="I207" s="18">
        <v>56572.32</v>
      </c>
      <c r="J207" s="18">
        <v>1193.08</v>
      </c>
      <c r="K207" s="18"/>
      <c r="L207" s="19">
        <f t="shared" si="0"/>
        <v>239680.63999999998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127071.75</v>
      </c>
      <c r="I208" s="18"/>
      <c r="J208" s="18"/>
      <c r="K208" s="18"/>
      <c r="L208" s="19">
        <f t="shared" si="0"/>
        <v>127071.75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1139738.4300000002</v>
      </c>
      <c r="G211" s="41">
        <f t="shared" si="1"/>
        <v>597364.81000000006</v>
      </c>
      <c r="H211" s="41">
        <f t="shared" si="1"/>
        <v>604120.25</v>
      </c>
      <c r="I211" s="41">
        <f t="shared" si="1"/>
        <v>94812.92</v>
      </c>
      <c r="J211" s="41">
        <f t="shared" si="1"/>
        <v>5461.3</v>
      </c>
      <c r="K211" s="41">
        <f t="shared" si="1"/>
        <v>22242.12</v>
      </c>
      <c r="L211" s="41">
        <f t="shared" si="1"/>
        <v>2463739.83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>
        <v>373.5</v>
      </c>
      <c r="I253" s="18"/>
      <c r="J253" s="18"/>
      <c r="K253" s="18"/>
      <c r="L253" s="19">
        <f t="shared" si="6"/>
        <v>373.5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21188.91</v>
      </c>
      <c r="I255" s="18"/>
      <c r="J255" s="18"/>
      <c r="K255" s="18"/>
      <c r="L255" s="19">
        <f t="shared" si="6"/>
        <v>21188.91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21562.41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21562.41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1139738.4300000002</v>
      </c>
      <c r="G257" s="41">
        <f t="shared" si="8"/>
        <v>597364.81000000006</v>
      </c>
      <c r="H257" s="41">
        <f t="shared" si="8"/>
        <v>625682.66</v>
      </c>
      <c r="I257" s="41">
        <f t="shared" si="8"/>
        <v>94812.92</v>
      </c>
      <c r="J257" s="41">
        <f t="shared" si="8"/>
        <v>5461.3</v>
      </c>
      <c r="K257" s="41">
        <f t="shared" si="8"/>
        <v>22242.12</v>
      </c>
      <c r="L257" s="41">
        <f t="shared" si="8"/>
        <v>2485302.2400000002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225000</v>
      </c>
      <c r="L266" s="19">
        <f t="shared" si="9"/>
        <v>225000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225000</v>
      </c>
      <c r="L270" s="41">
        <f t="shared" si="9"/>
        <v>225000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1139738.4300000002</v>
      </c>
      <c r="G271" s="42">
        <f t="shared" si="11"/>
        <v>597364.81000000006</v>
      </c>
      <c r="H271" s="42">
        <f t="shared" si="11"/>
        <v>625682.66</v>
      </c>
      <c r="I271" s="42">
        <f t="shared" si="11"/>
        <v>94812.92</v>
      </c>
      <c r="J271" s="42">
        <f t="shared" si="11"/>
        <v>5461.3</v>
      </c>
      <c r="K271" s="42">
        <f t="shared" si="11"/>
        <v>247242.12</v>
      </c>
      <c r="L271" s="42">
        <f t="shared" si="11"/>
        <v>2710302.24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43753.63</v>
      </c>
      <c r="G276" s="18">
        <v>21973.88</v>
      </c>
      <c r="H276" s="18"/>
      <c r="I276" s="18">
        <v>12019.12</v>
      </c>
      <c r="J276" s="18">
        <v>6468.93</v>
      </c>
      <c r="K276" s="18">
        <v>226.02</v>
      </c>
      <c r="L276" s="19">
        <f>SUM(F276:K276)</f>
        <v>84441.58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99031.41</v>
      </c>
      <c r="G279" s="18">
        <v>34291.300000000003</v>
      </c>
      <c r="H279" s="18"/>
      <c r="I279" s="18">
        <v>8180.23</v>
      </c>
      <c r="J279" s="18"/>
      <c r="K279" s="18">
        <v>271.51</v>
      </c>
      <c r="L279" s="19">
        <f>SUM(F279:K279)</f>
        <v>141774.45000000004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875</v>
      </c>
      <c r="J281" s="18"/>
      <c r="K281" s="18"/>
      <c r="L281" s="19">
        <f t="shared" ref="L281:L287" si="12">SUM(F281:K281)</f>
        <v>875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7317.86</v>
      </c>
      <c r="I282" s="18">
        <v>2565.79</v>
      </c>
      <c r="J282" s="18"/>
      <c r="K282" s="18">
        <v>2770</v>
      </c>
      <c r="L282" s="19">
        <f t="shared" si="12"/>
        <v>12653.65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4152.88</v>
      </c>
      <c r="G283" s="18"/>
      <c r="H283" s="18"/>
      <c r="I283" s="18"/>
      <c r="J283" s="18"/>
      <c r="K283" s="18">
        <v>150.01</v>
      </c>
      <c r="L283" s="19">
        <f t="shared" si="12"/>
        <v>4302.8900000000003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4401.1000000000004</v>
      </c>
      <c r="L285" s="19">
        <f t="shared" si="12"/>
        <v>4401.1000000000004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5702.75</v>
      </c>
      <c r="I287" s="18"/>
      <c r="J287" s="18"/>
      <c r="K287" s="18"/>
      <c r="L287" s="19">
        <f t="shared" si="12"/>
        <v>5702.75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146937.92000000001</v>
      </c>
      <c r="G290" s="42">
        <f t="shared" si="13"/>
        <v>56265.180000000008</v>
      </c>
      <c r="H290" s="42">
        <f t="shared" si="13"/>
        <v>13020.61</v>
      </c>
      <c r="I290" s="42">
        <f t="shared" si="13"/>
        <v>23640.14</v>
      </c>
      <c r="J290" s="42">
        <f t="shared" si="13"/>
        <v>6468.93</v>
      </c>
      <c r="K290" s="42">
        <f t="shared" si="13"/>
        <v>7818.64</v>
      </c>
      <c r="L290" s="41">
        <f t="shared" si="13"/>
        <v>254151.42000000004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146937.92000000001</v>
      </c>
      <c r="G338" s="41">
        <f t="shared" si="20"/>
        <v>56265.180000000008</v>
      </c>
      <c r="H338" s="41">
        <f t="shared" si="20"/>
        <v>13020.61</v>
      </c>
      <c r="I338" s="41">
        <f t="shared" si="20"/>
        <v>23640.14</v>
      </c>
      <c r="J338" s="41">
        <f t="shared" si="20"/>
        <v>6468.93</v>
      </c>
      <c r="K338" s="41">
        <f t="shared" si="20"/>
        <v>7818.64</v>
      </c>
      <c r="L338" s="41">
        <f t="shared" si="20"/>
        <v>254151.42000000004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146937.92000000001</v>
      </c>
      <c r="G352" s="41">
        <f>G338</f>
        <v>56265.180000000008</v>
      </c>
      <c r="H352" s="41">
        <f>H338</f>
        <v>13020.61</v>
      </c>
      <c r="I352" s="41">
        <f>I338</f>
        <v>23640.14</v>
      </c>
      <c r="J352" s="41">
        <f>J338</f>
        <v>6468.93</v>
      </c>
      <c r="K352" s="47">
        <f>K338+K351</f>
        <v>7818.64</v>
      </c>
      <c r="L352" s="41">
        <f>L338+L351</f>
        <v>254151.42000000004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98835.79</v>
      </c>
      <c r="I358" s="18"/>
      <c r="J358" s="18"/>
      <c r="K358" s="18"/>
      <c r="L358" s="13">
        <f>SUM(F358:K358)</f>
        <v>98835.79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98835.79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98835.79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>
        <v>29.4</v>
      </c>
      <c r="I387" s="18"/>
      <c r="J387" s="24" t="s">
        <v>286</v>
      </c>
      <c r="K387" s="24" t="s">
        <v>286</v>
      </c>
      <c r="L387" s="56">
        <f t="shared" ref="L387:L392" si="25">SUM(F387:K387)</f>
        <v>29.4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29.4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29.4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225000</v>
      </c>
      <c r="H396" s="18">
        <v>11048.2</v>
      </c>
      <c r="I396" s="18"/>
      <c r="J396" s="24" t="s">
        <v>286</v>
      </c>
      <c r="K396" s="24" t="s">
        <v>286</v>
      </c>
      <c r="L396" s="56">
        <f t="shared" si="26"/>
        <v>236048.2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637.08000000000004</v>
      </c>
      <c r="I397" s="18"/>
      <c r="J397" s="24" t="s">
        <v>286</v>
      </c>
      <c r="K397" s="24" t="s">
        <v>286</v>
      </c>
      <c r="L397" s="56">
        <f t="shared" si="26"/>
        <v>637.08000000000004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225000</v>
      </c>
      <c r="H401" s="47">
        <f>SUM(H395:H400)</f>
        <v>11685.28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236685.28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225000</v>
      </c>
      <c r="H408" s="47">
        <f>H393+H401+H407</f>
        <v>11714.68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236714.68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1094085.48</v>
      </c>
      <c r="G440" s="18"/>
      <c r="H440" s="18"/>
      <c r="I440" s="56">
        <f t="shared" si="33"/>
        <v>1094085.48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1094085.48</v>
      </c>
      <c r="G446" s="13">
        <f>SUM(G439:G445)</f>
        <v>0</v>
      </c>
      <c r="H446" s="13">
        <f>SUM(H439:H445)</f>
        <v>0</v>
      </c>
      <c r="I446" s="13">
        <f>SUM(I439:I445)</f>
        <v>1094085.48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1094085.48</v>
      </c>
      <c r="G459" s="18"/>
      <c r="H459" s="18"/>
      <c r="I459" s="56">
        <f t="shared" si="34"/>
        <v>1094085.48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1094085.48</v>
      </c>
      <c r="G460" s="83">
        <f>SUM(G454:G459)</f>
        <v>0</v>
      </c>
      <c r="H460" s="83">
        <f>SUM(H454:H459)</f>
        <v>0</v>
      </c>
      <c r="I460" s="83">
        <f>SUM(I454:I459)</f>
        <v>1094085.48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1094085.48</v>
      </c>
      <c r="G461" s="42">
        <f>G452+G460</f>
        <v>0</v>
      </c>
      <c r="H461" s="42">
        <f>H452+H460</f>
        <v>0</v>
      </c>
      <c r="I461" s="42">
        <f>I452+I460</f>
        <v>1094085.48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134567.94</v>
      </c>
      <c r="G465" s="18">
        <v>1169.6600000000001</v>
      </c>
      <c r="H465" s="18">
        <v>0</v>
      </c>
      <c r="I465" s="18"/>
      <c r="J465" s="18">
        <v>857370.8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2735608.49</v>
      </c>
      <c r="G468" s="18">
        <v>98797.3</v>
      </c>
      <c r="H468" s="18">
        <v>254151.42</v>
      </c>
      <c r="I468" s="18"/>
      <c r="J468" s="18">
        <v>236714.68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2735608.49</v>
      </c>
      <c r="G470" s="53">
        <f>SUM(G468:G469)</f>
        <v>98797.3</v>
      </c>
      <c r="H470" s="53">
        <f>SUM(H468:H469)</f>
        <v>254151.42</v>
      </c>
      <c r="I470" s="53">
        <f>SUM(I468:I469)</f>
        <v>0</v>
      </c>
      <c r="J470" s="53">
        <f>SUM(J468:J469)</f>
        <v>236714.68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2710302.24</v>
      </c>
      <c r="G472" s="18">
        <v>98835.79</v>
      </c>
      <c r="H472" s="18">
        <v>254151.42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2710302.24</v>
      </c>
      <c r="G474" s="53">
        <f>SUM(G472:G473)</f>
        <v>98835.79</v>
      </c>
      <c r="H474" s="53">
        <f>SUM(H472:H473)</f>
        <v>254151.42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159874.18999999994</v>
      </c>
      <c r="G476" s="53">
        <f>(G465+G470)- G474</f>
        <v>1131.1700000000128</v>
      </c>
      <c r="H476" s="53">
        <f>(H465+H470)- H474</f>
        <v>0</v>
      </c>
      <c r="I476" s="53">
        <f>(I465+I470)- I474</f>
        <v>0</v>
      </c>
      <c r="J476" s="53">
        <f>(J465+J470)- J474</f>
        <v>1094085.48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194346.84</v>
      </c>
      <c r="G521" s="18">
        <v>63037.27</v>
      </c>
      <c r="H521" s="18">
        <v>121309.06</v>
      </c>
      <c r="I521" s="18">
        <v>1097.1400000000001</v>
      </c>
      <c r="J521" s="18">
        <v>290.99</v>
      </c>
      <c r="K521" s="18"/>
      <c r="L521" s="88">
        <f>SUM(F521:K521)</f>
        <v>380081.3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194346.84</v>
      </c>
      <c r="G524" s="108">
        <f t="shared" ref="G524:L524" si="36">SUM(G521:G523)</f>
        <v>63037.27</v>
      </c>
      <c r="H524" s="108">
        <f t="shared" si="36"/>
        <v>121309.06</v>
      </c>
      <c r="I524" s="108">
        <f t="shared" si="36"/>
        <v>1097.1400000000001</v>
      </c>
      <c r="J524" s="108">
        <f t="shared" si="36"/>
        <v>290.99</v>
      </c>
      <c r="K524" s="108">
        <f t="shared" si="36"/>
        <v>0</v>
      </c>
      <c r="L524" s="89">
        <f t="shared" si="36"/>
        <v>380081.3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8180</v>
      </c>
      <c r="G526" s="18">
        <v>6800.21</v>
      </c>
      <c r="H526" s="18">
        <v>84797.31</v>
      </c>
      <c r="I526" s="18">
        <v>1601.17</v>
      </c>
      <c r="J526" s="18"/>
      <c r="K526" s="18"/>
      <c r="L526" s="88">
        <f>SUM(F526:K526)</f>
        <v>101378.68999999999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8180</v>
      </c>
      <c r="G529" s="89">
        <f t="shared" ref="G529:L529" si="37">SUM(G526:G528)</f>
        <v>6800.21</v>
      </c>
      <c r="H529" s="89">
        <f t="shared" si="37"/>
        <v>84797.31</v>
      </c>
      <c r="I529" s="89">
        <f t="shared" si="37"/>
        <v>1601.17</v>
      </c>
      <c r="J529" s="89">
        <f t="shared" si="37"/>
        <v>0</v>
      </c>
      <c r="K529" s="89">
        <f t="shared" si="37"/>
        <v>0</v>
      </c>
      <c r="L529" s="89">
        <f t="shared" si="37"/>
        <v>101378.68999999999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6079.51</v>
      </c>
      <c r="G531" s="18">
        <v>2700.29</v>
      </c>
      <c r="H531" s="18"/>
      <c r="I531" s="18"/>
      <c r="J531" s="18"/>
      <c r="K531" s="18"/>
      <c r="L531" s="88">
        <f>SUM(F531:K531)</f>
        <v>8779.7999999999993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6079.51</v>
      </c>
      <c r="G534" s="89">
        <f t="shared" ref="G534:L534" si="38">SUM(G531:G533)</f>
        <v>2700.29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8779.7999999999993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18200</v>
      </c>
      <c r="I541" s="18"/>
      <c r="J541" s="18"/>
      <c r="K541" s="18"/>
      <c r="L541" s="88">
        <f>SUM(F541:K541)</f>
        <v>18200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18200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18200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208606.35</v>
      </c>
      <c r="G545" s="89">
        <f t="shared" ref="G545:L545" si="41">G524+G529+G534+G539+G544</f>
        <v>72537.76999999999</v>
      </c>
      <c r="H545" s="89">
        <f t="shared" si="41"/>
        <v>224306.37</v>
      </c>
      <c r="I545" s="89">
        <f t="shared" si="41"/>
        <v>2698.3100000000004</v>
      </c>
      <c r="J545" s="89">
        <f t="shared" si="41"/>
        <v>290.99</v>
      </c>
      <c r="K545" s="89">
        <f t="shared" si="41"/>
        <v>0</v>
      </c>
      <c r="L545" s="89">
        <f t="shared" si="41"/>
        <v>508439.79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380081.3</v>
      </c>
      <c r="G549" s="87">
        <f>L526</f>
        <v>101378.68999999999</v>
      </c>
      <c r="H549" s="87">
        <f>L531</f>
        <v>8779.7999999999993</v>
      </c>
      <c r="I549" s="87">
        <f>L536</f>
        <v>0</v>
      </c>
      <c r="J549" s="87">
        <f>L541</f>
        <v>18200</v>
      </c>
      <c r="K549" s="87">
        <f>SUM(F549:J549)</f>
        <v>508439.79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380081.3</v>
      </c>
      <c r="G552" s="89">
        <f t="shared" si="42"/>
        <v>101378.68999999999</v>
      </c>
      <c r="H552" s="89">
        <f t="shared" si="42"/>
        <v>8779.7999999999993</v>
      </c>
      <c r="I552" s="89">
        <f t="shared" si="42"/>
        <v>0</v>
      </c>
      <c r="J552" s="89">
        <f t="shared" si="42"/>
        <v>18200</v>
      </c>
      <c r="K552" s="89">
        <f t="shared" si="42"/>
        <v>508439.79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43984.07</v>
      </c>
      <c r="G584" s="18"/>
      <c r="H584" s="18"/>
      <c r="I584" s="87">
        <f t="shared" si="47"/>
        <v>43984.07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8473.6200000000008</v>
      </c>
      <c r="G587" s="18"/>
      <c r="H587" s="18"/>
      <c r="I587" s="87">
        <f t="shared" si="47"/>
        <v>8473.6200000000008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102151</v>
      </c>
      <c r="I591" s="18"/>
      <c r="J591" s="18"/>
      <c r="K591" s="104">
        <f t="shared" ref="K591:K597" si="48">SUM(H591:J591)</f>
        <v>102151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18200</v>
      </c>
      <c r="I592" s="18"/>
      <c r="J592" s="18"/>
      <c r="K592" s="104">
        <f t="shared" si="48"/>
        <v>18200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2429</v>
      </c>
      <c r="I594" s="18"/>
      <c r="J594" s="18"/>
      <c r="K594" s="104">
        <f t="shared" si="48"/>
        <v>2429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4291.75</v>
      </c>
      <c r="I595" s="18"/>
      <c r="J595" s="18"/>
      <c r="K595" s="104">
        <f t="shared" si="48"/>
        <v>4291.75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127071.75</v>
      </c>
      <c r="I598" s="108">
        <f>SUM(I591:I597)</f>
        <v>0</v>
      </c>
      <c r="J598" s="108">
        <f>SUM(J591:J597)</f>
        <v>0</v>
      </c>
      <c r="K598" s="108">
        <f>SUM(K591:K597)</f>
        <v>127071.75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5461.3+6468.93</f>
        <v>11930.23</v>
      </c>
      <c r="I604" s="18"/>
      <c r="J604" s="18"/>
      <c r="K604" s="104">
        <f>SUM(H604:J604)</f>
        <v>11930.23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11930.23</v>
      </c>
      <c r="I605" s="108">
        <f>SUM(I602:I604)</f>
        <v>0</v>
      </c>
      <c r="J605" s="108">
        <f>SUM(J602:J604)</f>
        <v>0</v>
      </c>
      <c r="K605" s="108">
        <f>SUM(K602:K604)</f>
        <v>11930.23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183333.09000000003</v>
      </c>
      <c r="H617" s="109">
        <f>SUM(F52)</f>
        <v>183333.08999999997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12426.17</v>
      </c>
      <c r="H618" s="109">
        <f>SUM(G52)</f>
        <v>12426.17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13424.410000000003</v>
      </c>
      <c r="H619" s="109">
        <f>SUM(H52)</f>
        <v>13424.41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1094085.48</v>
      </c>
      <c r="H621" s="109">
        <f>SUM(J52)</f>
        <v>1094085.48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159874.18999999997</v>
      </c>
      <c r="H622" s="109">
        <f>F476</f>
        <v>159874.18999999994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1131.17</v>
      </c>
      <c r="H623" s="109">
        <f>G476</f>
        <v>1131.1700000000128</v>
      </c>
      <c r="I623" s="121" t="s">
        <v>102</v>
      </c>
      <c r="J623" s="109">
        <f t="shared" si="50"/>
        <v>-1.2732925824820995E-11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1094085.48</v>
      </c>
      <c r="H626" s="109">
        <f>J476</f>
        <v>1094085.48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2735608.49</v>
      </c>
      <c r="H627" s="104">
        <f>SUM(F468)</f>
        <v>2735608.49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98797.3</v>
      </c>
      <c r="H628" s="104">
        <f>SUM(G468)</f>
        <v>98797.3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254151.41999999998</v>
      </c>
      <c r="H629" s="104">
        <f>SUM(H468)</f>
        <v>254151.42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236714.68</v>
      </c>
      <c r="H631" s="104">
        <f>SUM(J468)</f>
        <v>236714.68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2710302.24</v>
      </c>
      <c r="H632" s="104">
        <f>SUM(F472)</f>
        <v>2710302.24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254151.42000000004</v>
      </c>
      <c r="H633" s="104">
        <f>SUM(H472)</f>
        <v>254151.42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98835.79</v>
      </c>
      <c r="H635" s="104">
        <f>SUM(G472)</f>
        <v>98835.79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236714.68</v>
      </c>
      <c r="H637" s="164">
        <f>SUM(J468)</f>
        <v>236714.68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1094085.48</v>
      </c>
      <c r="H639" s="104">
        <f>SUM(F461)</f>
        <v>1094085.48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1094085.48</v>
      </c>
      <c r="H642" s="104">
        <f>SUM(I461)</f>
        <v>1094085.48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11714.68</v>
      </c>
      <c r="H644" s="104">
        <f>H408</f>
        <v>11714.68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225000</v>
      </c>
      <c r="H645" s="104">
        <f>G408</f>
        <v>225000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236714.68</v>
      </c>
      <c r="H646" s="104">
        <f>L408</f>
        <v>236714.68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127071.75</v>
      </c>
      <c r="H647" s="104">
        <f>L208+L226+L244</f>
        <v>127071.75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11930.23</v>
      </c>
      <c r="H648" s="104">
        <f>(J257+J338)-(J255+J336)</f>
        <v>11930.23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127071.75</v>
      </c>
      <c r="H649" s="104">
        <f>H598</f>
        <v>127071.75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225000</v>
      </c>
      <c r="H655" s="104">
        <f>K266+K347</f>
        <v>225000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2816727.04</v>
      </c>
      <c r="G660" s="19">
        <f>(L229+L309+L359)</f>
        <v>0</v>
      </c>
      <c r="H660" s="19">
        <f>(L247+L328+L360)</f>
        <v>0</v>
      </c>
      <c r="I660" s="19">
        <f>SUM(F660:H660)</f>
        <v>2816727.04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19495.28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19495.28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132774.5</v>
      </c>
      <c r="G662" s="19">
        <f>(L226+L306)-(J226+J306)</f>
        <v>0</v>
      </c>
      <c r="H662" s="19">
        <f>(L244+L325)-(J244+J325)</f>
        <v>0</v>
      </c>
      <c r="I662" s="19">
        <f>SUM(F662:H662)</f>
        <v>132774.5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64387.92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64387.92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2600069.34</v>
      </c>
      <c r="G664" s="19">
        <f>G660-SUM(G661:G663)</f>
        <v>0</v>
      </c>
      <c r="H664" s="19">
        <f>H660-SUM(H661:H663)</f>
        <v>0</v>
      </c>
      <c r="I664" s="19">
        <f>I660-SUM(I661:I663)</f>
        <v>2600069.34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113.37</v>
      </c>
      <c r="G665" s="248"/>
      <c r="H665" s="248"/>
      <c r="I665" s="19">
        <f>SUM(F665:H665)</f>
        <v>113.37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22934.37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22934.37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22934.37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22934.37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Rumney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687639.01</v>
      </c>
      <c r="C9" s="229">
        <f>'DOE25'!G197+'DOE25'!G215+'DOE25'!G233+'DOE25'!G276+'DOE25'!G295+'DOE25'!G314</f>
        <v>395425.06</v>
      </c>
    </row>
    <row r="10" spans="1:3" x14ac:dyDescent="0.2">
      <c r="A10" t="s">
        <v>773</v>
      </c>
      <c r="B10" s="240">
        <v>673866.95</v>
      </c>
      <c r="C10" s="240">
        <v>394080.09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v>13772.06</v>
      </c>
      <c r="C12" s="240">
        <v>1344.97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687639.01</v>
      </c>
      <c r="C13" s="231">
        <f>SUM(C10:C12)</f>
        <v>395425.06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194346.84</v>
      </c>
      <c r="C18" s="229">
        <f>'DOE25'!G198+'DOE25'!G216+'DOE25'!G234+'DOE25'!G277+'DOE25'!G296+'DOE25'!G315</f>
        <v>63037.27</v>
      </c>
    </row>
    <row r="19" spans="1:3" x14ac:dyDescent="0.2">
      <c r="A19" t="s">
        <v>773</v>
      </c>
      <c r="B19" s="240">
        <v>37300</v>
      </c>
      <c r="C19" s="240">
        <v>27127.98</v>
      </c>
    </row>
    <row r="20" spans="1:3" x14ac:dyDescent="0.2">
      <c r="A20" t="s">
        <v>774</v>
      </c>
      <c r="B20" s="240">
        <v>149659.34</v>
      </c>
      <c r="C20" s="240">
        <v>34683.14</v>
      </c>
    </row>
    <row r="21" spans="1:3" x14ac:dyDescent="0.2">
      <c r="A21" t="s">
        <v>775</v>
      </c>
      <c r="B21" s="240">
        <v>7387.5</v>
      </c>
      <c r="C21" s="240">
        <v>1226.1500000000001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194346.84</v>
      </c>
      <c r="C22" s="231">
        <f>SUM(C19:C21)</f>
        <v>63037.27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151060.54</v>
      </c>
      <c r="C36" s="235">
        <f>'DOE25'!G200+'DOE25'!G218+'DOE25'!G236+'DOE25'!G279+'DOE25'!G298+'DOE25'!G317</f>
        <v>46635.44</v>
      </c>
    </row>
    <row r="37" spans="1:3" x14ac:dyDescent="0.2">
      <c r="A37" t="s">
        <v>773</v>
      </c>
      <c r="B37" s="240">
        <v>48274</v>
      </c>
      <c r="C37" s="240">
        <v>26282.3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102786.54</v>
      </c>
      <c r="C39" s="240">
        <v>20353.14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151060.53999999998</v>
      </c>
      <c r="C40" s="231">
        <f>SUM(C37:C39)</f>
        <v>46635.44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Rumney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1513313.41</v>
      </c>
      <c r="D5" s="20">
        <f>SUM('DOE25'!L197:L200)+SUM('DOE25'!L215:L218)+SUM('DOE25'!L233:L236)-F5-G5</f>
        <v>1495247.79</v>
      </c>
      <c r="E5" s="243"/>
      <c r="F5" s="255">
        <f>SUM('DOE25'!J197:J200)+SUM('DOE25'!J215:J218)+SUM('DOE25'!J233:J236)</f>
        <v>3265.6800000000003</v>
      </c>
      <c r="G5" s="53">
        <f>SUM('DOE25'!K197:K200)+SUM('DOE25'!K215:K218)+SUM('DOE25'!K233:K236)</f>
        <v>14799.94</v>
      </c>
      <c r="H5" s="259"/>
    </row>
    <row r="6" spans="1:9" x14ac:dyDescent="0.2">
      <c r="A6" s="32">
        <v>2100</v>
      </c>
      <c r="B6" t="s">
        <v>795</v>
      </c>
      <c r="C6" s="245">
        <f t="shared" si="0"/>
        <v>266254.02</v>
      </c>
      <c r="D6" s="20">
        <f>'DOE25'!L202+'DOE25'!L220+'DOE25'!L238-F6-G6</f>
        <v>266254.02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8644.35</v>
      </c>
      <c r="D7" s="20">
        <f>'DOE25'!L203+'DOE25'!L221+'DOE25'!L239-F7-G7</f>
        <v>7641.81</v>
      </c>
      <c r="E7" s="243"/>
      <c r="F7" s="255">
        <f>'DOE25'!J203+'DOE25'!J221+'DOE25'!J239</f>
        <v>1002.54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49191.08</v>
      </c>
      <c r="D8" s="243"/>
      <c r="E8" s="20">
        <f>'DOE25'!L204+'DOE25'!L222+'DOE25'!L240-F8-G8-D9-D11</f>
        <v>42828.61</v>
      </c>
      <c r="F8" s="255">
        <f>'DOE25'!J204+'DOE25'!J222+'DOE25'!J240</f>
        <v>0</v>
      </c>
      <c r="G8" s="53">
        <f>'DOE25'!K204+'DOE25'!K222+'DOE25'!K240</f>
        <v>6362.47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19849.11</v>
      </c>
      <c r="D9" s="244">
        <v>19849.11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5600</v>
      </c>
      <c r="D10" s="243"/>
      <c r="E10" s="244">
        <v>5600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31889.64</v>
      </c>
      <c r="D11" s="244">
        <v>31889.64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207845.83</v>
      </c>
      <c r="D12" s="20">
        <f>'DOE25'!L205+'DOE25'!L223+'DOE25'!L241-F12-G12</f>
        <v>206766.12</v>
      </c>
      <c r="E12" s="243"/>
      <c r="F12" s="255">
        <f>'DOE25'!J205+'DOE25'!J223+'DOE25'!J241</f>
        <v>0</v>
      </c>
      <c r="G12" s="53">
        <f>'DOE25'!K205+'DOE25'!K223+'DOE25'!K241</f>
        <v>1079.71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239680.63999999998</v>
      </c>
      <c r="D14" s="20">
        <f>'DOE25'!L207+'DOE25'!L225+'DOE25'!L243-F14-G14</f>
        <v>238487.56</v>
      </c>
      <c r="E14" s="243"/>
      <c r="F14" s="255">
        <f>'DOE25'!J207+'DOE25'!J225+'DOE25'!J243</f>
        <v>1193.08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127071.75</v>
      </c>
      <c r="D15" s="20">
        <f>'DOE25'!L208+'DOE25'!L226+'DOE25'!L244-F15-G15</f>
        <v>127071.75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373.5</v>
      </c>
      <c r="D19" s="20">
        <f>'DOE25'!L253-F19-G19</f>
        <v>373.5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21188.91</v>
      </c>
      <c r="D22" s="243"/>
      <c r="E22" s="243"/>
      <c r="F22" s="255">
        <f>'DOE25'!L255+'DOE25'!L336</f>
        <v>21188.91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98835.79</v>
      </c>
      <c r="D29" s="20">
        <f>'DOE25'!L358+'DOE25'!L359+'DOE25'!L360-'DOE25'!I367-F29-G29</f>
        <v>98835.79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254151.42000000004</v>
      </c>
      <c r="D31" s="20">
        <f>'DOE25'!L290+'DOE25'!L309+'DOE25'!L328+'DOE25'!L333+'DOE25'!L334+'DOE25'!L335-F31-G31</f>
        <v>239863.85000000003</v>
      </c>
      <c r="E31" s="243"/>
      <c r="F31" s="255">
        <f>'DOE25'!J290+'DOE25'!J309+'DOE25'!J328+'DOE25'!J333+'DOE25'!J334+'DOE25'!J335</f>
        <v>6468.93</v>
      </c>
      <c r="G31" s="53">
        <f>'DOE25'!K290+'DOE25'!K309+'DOE25'!K328+'DOE25'!K333+'DOE25'!K334+'DOE25'!K335</f>
        <v>7818.64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2732280.9400000004</v>
      </c>
      <c r="E33" s="246">
        <f>SUM(E5:E31)</f>
        <v>48428.61</v>
      </c>
      <c r="F33" s="246">
        <f>SUM(F5:F31)</f>
        <v>33119.14</v>
      </c>
      <c r="G33" s="246">
        <f>SUM(G5:G31)</f>
        <v>30060.76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48428.61</v>
      </c>
      <c r="E35" s="249"/>
    </row>
    <row r="36" spans="2:8" ht="12" thickTop="1" x14ac:dyDescent="0.2">
      <c r="B36" t="s">
        <v>809</v>
      </c>
      <c r="D36" s="20">
        <f>D33</f>
        <v>2732280.9400000004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164031.04000000001</v>
      </c>
      <c r="D8" s="95">
        <f>'DOE25'!G9</f>
        <v>7351.53</v>
      </c>
      <c r="E8" s="95">
        <f>'DOE25'!H9</f>
        <v>-31038.89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1094085.48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15455.17</v>
      </c>
      <c r="D12" s="95">
        <f>'DOE25'!G13</f>
        <v>5014.54</v>
      </c>
      <c r="E12" s="95">
        <f>'DOE25'!H13</f>
        <v>44463.3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2545.6</v>
      </c>
      <c r="D13" s="95">
        <f>'DOE25'!G14</f>
        <v>60.1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1301.28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183333.09000000003</v>
      </c>
      <c r="D18" s="41">
        <f>SUM(D8:D17)</f>
        <v>12426.17</v>
      </c>
      <c r="E18" s="41">
        <f>SUM(E8:E17)</f>
        <v>13424.410000000003</v>
      </c>
      <c r="F18" s="41">
        <f>SUM(F8:F17)</f>
        <v>0</v>
      </c>
      <c r="G18" s="41">
        <f>SUM(G8:G17)</f>
        <v>1094085.48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23458.9</v>
      </c>
      <c r="D23" s="95">
        <f>'DOE25'!G24</f>
        <v>11295</v>
      </c>
      <c r="E23" s="95">
        <f>'DOE25'!H24</f>
        <v>12069.41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1355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23458.9</v>
      </c>
      <c r="D31" s="41">
        <f>SUM(D21:D30)</f>
        <v>11295</v>
      </c>
      <c r="E31" s="41">
        <f>SUM(E21:E30)</f>
        <v>13424.41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70036.789999999994</v>
      </c>
      <c r="D44" s="95">
        <f>'DOE25'!G45</f>
        <v>0</v>
      </c>
      <c r="E44" s="95">
        <f>'DOE25'!H45</f>
        <v>1553.25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1131.17</v>
      </c>
      <c r="E47" s="95">
        <f>'DOE25'!H48</f>
        <v>-1553.25</v>
      </c>
      <c r="F47" s="95">
        <f>'DOE25'!I48</f>
        <v>0</v>
      </c>
      <c r="G47" s="95">
        <f>'DOE25'!J48</f>
        <v>1094085.48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14837.4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159874.18999999997</v>
      </c>
      <c r="D50" s="41">
        <f>SUM(D34:D49)</f>
        <v>1131.17</v>
      </c>
      <c r="E50" s="41">
        <f>SUM(E34:E49)</f>
        <v>0</v>
      </c>
      <c r="F50" s="41">
        <f>SUM(F34:F49)</f>
        <v>0</v>
      </c>
      <c r="G50" s="41">
        <f>SUM(G34:G49)</f>
        <v>1094085.48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183333.08999999997</v>
      </c>
      <c r="D51" s="41">
        <f>D50+D31</f>
        <v>12426.17</v>
      </c>
      <c r="E51" s="41">
        <f>E50+E31</f>
        <v>13424.41</v>
      </c>
      <c r="F51" s="41">
        <f>F50+F31</f>
        <v>0</v>
      </c>
      <c r="G51" s="41">
        <f>G50+G31</f>
        <v>1094085.48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1944020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192.77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11714.68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19495.28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15776.59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15969.36</v>
      </c>
      <c r="D62" s="130">
        <f>SUM(D57:D61)</f>
        <v>19495.28</v>
      </c>
      <c r="E62" s="130">
        <f>SUM(E57:E61)</f>
        <v>0</v>
      </c>
      <c r="F62" s="130">
        <f>SUM(F57:F61)</f>
        <v>0</v>
      </c>
      <c r="G62" s="130">
        <f>SUM(G57:G61)</f>
        <v>11714.68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1959989.36</v>
      </c>
      <c r="D63" s="22">
        <f>D56+D62</f>
        <v>19495.28</v>
      </c>
      <c r="E63" s="22">
        <f>E56+E62</f>
        <v>0</v>
      </c>
      <c r="F63" s="22">
        <f>F56+F62</f>
        <v>0</v>
      </c>
      <c r="G63" s="22">
        <f>G56+G62</f>
        <v>11714.68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471150.85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263122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5057.87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739330.72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668.86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668.86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739330.72</v>
      </c>
      <c r="D81" s="130">
        <f>SUM(D79:D80)+D78+D70</f>
        <v>668.86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28405.89</v>
      </c>
      <c r="D88" s="95">
        <f>SUM('DOE25'!G153:G161)</f>
        <v>78633.16</v>
      </c>
      <c r="E88" s="95">
        <f>SUM('DOE25'!H153:H161)</f>
        <v>254151.41999999998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5882.52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34288.410000000003</v>
      </c>
      <c r="D91" s="131">
        <f>SUM(D85:D90)</f>
        <v>78633.16</v>
      </c>
      <c r="E91" s="131">
        <f>SUM(E85:E90)</f>
        <v>254151.41999999998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2000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225000</v>
      </c>
    </row>
    <row r="104" spans="1:7" ht="12.75" thickTop="1" thickBot="1" x14ac:dyDescent="0.25">
      <c r="A104" s="33" t="s">
        <v>759</v>
      </c>
      <c r="C104" s="86">
        <f>C63+C81+C91+C103</f>
        <v>2735608.49</v>
      </c>
      <c r="D104" s="86">
        <f>D63+D81+D91+D103</f>
        <v>98797.3</v>
      </c>
      <c r="E104" s="86">
        <f>E63+E81+E91+E103</f>
        <v>254151.41999999998</v>
      </c>
      <c r="F104" s="86">
        <f>F63+F81+F91+F103</f>
        <v>0</v>
      </c>
      <c r="G104" s="86">
        <f>G63+G81+G103</f>
        <v>236714.68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1063368.3699999999</v>
      </c>
      <c r="D109" s="24" t="s">
        <v>286</v>
      </c>
      <c r="E109" s="95">
        <f>('DOE25'!L276)+('DOE25'!L295)+('DOE25'!L314)</f>
        <v>84441.58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380081.3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69863.739999999991</v>
      </c>
      <c r="D112" s="24" t="s">
        <v>286</v>
      </c>
      <c r="E112" s="95">
        <f>+('DOE25'!L279)+('DOE25'!L298)+('DOE25'!L317)</f>
        <v>141774.45000000004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373.5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1513686.91</v>
      </c>
      <c r="D115" s="86">
        <f>SUM(D109:D114)</f>
        <v>0</v>
      </c>
      <c r="E115" s="86">
        <f>SUM(E109:E114)</f>
        <v>226216.03000000003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266254.02</v>
      </c>
      <c r="D118" s="24" t="s">
        <v>286</v>
      </c>
      <c r="E118" s="95">
        <f>+('DOE25'!L281)+('DOE25'!L300)+('DOE25'!L319)</f>
        <v>875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8644.35</v>
      </c>
      <c r="D119" s="24" t="s">
        <v>286</v>
      </c>
      <c r="E119" s="95">
        <f>+('DOE25'!L282)+('DOE25'!L301)+('DOE25'!L320)</f>
        <v>12653.65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100929.83</v>
      </c>
      <c r="D120" s="24" t="s">
        <v>286</v>
      </c>
      <c r="E120" s="95">
        <f>+('DOE25'!L283)+('DOE25'!L302)+('DOE25'!L321)</f>
        <v>4302.8900000000003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207845.83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4401.1000000000004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239680.63999999998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127071.75</v>
      </c>
      <c r="D124" s="24" t="s">
        <v>286</v>
      </c>
      <c r="E124" s="95">
        <f>+('DOE25'!L287)+('DOE25'!L306)+('DOE25'!L325)</f>
        <v>5702.75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98835.79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950426.42</v>
      </c>
      <c r="D128" s="86">
        <f>SUM(D118:D127)</f>
        <v>98835.79</v>
      </c>
      <c r="E128" s="86">
        <f>SUM(E118:E127)</f>
        <v>27935.39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21188.91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29.4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236685.28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-11714.679999999993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246188.91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2710302.24</v>
      </c>
      <c r="D145" s="86">
        <f>(D115+D128+D144)</f>
        <v>98835.79</v>
      </c>
      <c r="E145" s="86">
        <f>(E115+E128+E144)</f>
        <v>254151.42000000004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Rumney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22934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22934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1147810</v>
      </c>
      <c r="D10" s="182">
        <f>ROUND((C10/$C$28)*100,1)</f>
        <v>41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380081</v>
      </c>
      <c r="D11" s="182">
        <f>ROUND((C11/$C$28)*100,1)</f>
        <v>13.6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211638</v>
      </c>
      <c r="D13" s="182">
        <f>ROUND((C13/$C$28)*100,1)</f>
        <v>7.6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267129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21298</v>
      </c>
      <c r="D16" s="182">
        <f t="shared" si="0"/>
        <v>0.8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105233</v>
      </c>
      <c r="D17" s="182">
        <f t="shared" si="0"/>
        <v>3.8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207846</v>
      </c>
      <c r="D18" s="182">
        <f t="shared" si="0"/>
        <v>7.4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4401</v>
      </c>
      <c r="D19" s="182">
        <f t="shared" si="0"/>
        <v>0.2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239681</v>
      </c>
      <c r="D20" s="182">
        <f t="shared" si="0"/>
        <v>8.6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132775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374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79340.72</v>
      </c>
      <c r="D27" s="182">
        <f t="shared" si="0"/>
        <v>2.8</v>
      </c>
    </row>
    <row r="28" spans="1:4" x14ac:dyDescent="0.2">
      <c r="B28" s="187" t="s">
        <v>717</v>
      </c>
      <c r="C28" s="180">
        <f>SUM(C10:C27)</f>
        <v>2797606.72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21189</v>
      </c>
    </row>
    <row r="30" spans="1:4" x14ac:dyDescent="0.2">
      <c r="B30" s="187" t="s">
        <v>723</v>
      </c>
      <c r="C30" s="180">
        <f>SUM(C28:C29)</f>
        <v>2818795.72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1944020</v>
      </c>
      <c r="D35" s="182">
        <f t="shared" ref="D35:D40" si="1">ROUND((C35/$C$41)*100,1)</f>
        <v>63.1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27684.040000000037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734273</v>
      </c>
      <c r="D37" s="182">
        <f t="shared" si="1"/>
        <v>23.8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5727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367073</v>
      </c>
      <c r="D39" s="182">
        <f t="shared" si="1"/>
        <v>11.9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3078777.04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Rumney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2018-08-15T19:59:41Z</cp:lastPrinted>
  <dcterms:created xsi:type="dcterms:W3CDTF">1997-12-04T19:04:30Z</dcterms:created>
  <dcterms:modified xsi:type="dcterms:W3CDTF">2018-11-30T16:13:33Z</dcterms:modified>
</cp:coreProperties>
</file>