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6735" yWindow="870" windowWidth="28800" windowHeight="12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65" i="1" l="1"/>
  <c r="H521" i="1" l="1"/>
  <c r="H244" i="1"/>
  <c r="I358" i="1"/>
  <c r="G358" i="1"/>
  <c r="G205" i="1"/>
  <c r="G204" i="1"/>
  <c r="G203" i="1"/>
  <c r="G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C110" i="2" s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C12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E120" i="2"/>
  <c r="E121" i="2"/>
  <c r="E123" i="2"/>
  <c r="E124" i="2"/>
  <c r="C125" i="2"/>
  <c r="E125" i="2"/>
  <c r="F128" i="2"/>
  <c r="G128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G641" i="1" s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J640" i="1" s="1"/>
  <c r="H640" i="1"/>
  <c r="H641" i="1"/>
  <c r="G643" i="1"/>
  <c r="H643" i="1"/>
  <c r="J643" i="1" s="1"/>
  <c r="G644" i="1"/>
  <c r="G645" i="1"/>
  <c r="H647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G164" i="2"/>
  <c r="C26" i="10"/>
  <c r="L328" i="1"/>
  <c r="L351" i="1"/>
  <c r="A31" i="12"/>
  <c r="D62" i="2"/>
  <c r="D18" i="13"/>
  <c r="C18" i="13" s="1"/>
  <c r="D17" i="13"/>
  <c r="C17" i="13" s="1"/>
  <c r="C91" i="2"/>
  <c r="F78" i="2"/>
  <c r="F81" i="2" s="1"/>
  <c r="D50" i="2"/>
  <c r="G157" i="2"/>
  <c r="G161" i="2"/>
  <c r="G156" i="2"/>
  <c r="D29" i="13"/>
  <c r="C29" i="13" s="1"/>
  <c r="D19" i="13"/>
  <c r="C19" i="13" s="1"/>
  <c r="E78" i="2"/>
  <c r="E81" i="2" s="1"/>
  <c r="L427" i="1"/>
  <c r="J571" i="1"/>
  <c r="L419" i="1"/>
  <c r="I169" i="1"/>
  <c r="G552" i="1"/>
  <c r="H476" i="1"/>
  <c r="H624" i="1" s="1"/>
  <c r="F476" i="1"/>
  <c r="H622" i="1" s="1"/>
  <c r="I476" i="1"/>
  <c r="H625" i="1" s="1"/>
  <c r="J625" i="1" s="1"/>
  <c r="F169" i="1"/>
  <c r="J140" i="1"/>
  <c r="K550" i="1"/>
  <c r="G22" i="2"/>
  <c r="C29" i="10"/>
  <c r="H140" i="1"/>
  <c r="L393" i="1"/>
  <c r="C138" i="2" s="1"/>
  <c r="A13" i="12"/>
  <c r="F22" i="13"/>
  <c r="C22" i="13" s="1"/>
  <c r="H25" i="13"/>
  <c r="C25" i="13" s="1"/>
  <c r="H571" i="1"/>
  <c r="L560" i="1"/>
  <c r="G192" i="1"/>
  <c r="C35" i="10"/>
  <c r="L309" i="1"/>
  <c r="E16" i="13"/>
  <c r="I571" i="1"/>
  <c r="G36" i="2"/>
  <c r="L565" i="1"/>
  <c r="H33" i="13"/>
  <c r="J645" i="1" l="1"/>
  <c r="J644" i="1"/>
  <c r="H545" i="1"/>
  <c r="J552" i="1"/>
  <c r="E31" i="2"/>
  <c r="H52" i="1"/>
  <c r="H619" i="1" s="1"/>
  <c r="J619" i="1" s="1"/>
  <c r="G624" i="1"/>
  <c r="J624" i="1"/>
  <c r="C16" i="10"/>
  <c r="A40" i="12"/>
  <c r="C18" i="2"/>
  <c r="J617" i="1"/>
  <c r="J622" i="1"/>
  <c r="D31" i="2"/>
  <c r="G476" i="1"/>
  <c r="H623" i="1" s="1"/>
  <c r="J623" i="1" s="1"/>
  <c r="E62" i="2"/>
  <c r="E63" i="2" s="1"/>
  <c r="D91" i="2"/>
  <c r="F112" i="1"/>
  <c r="J641" i="1"/>
  <c r="I369" i="1"/>
  <c r="H634" i="1" s="1"/>
  <c r="K545" i="1"/>
  <c r="F552" i="1"/>
  <c r="K549" i="1"/>
  <c r="K552" i="1" s="1"/>
  <c r="L534" i="1"/>
  <c r="G545" i="1"/>
  <c r="K598" i="1"/>
  <c r="G647" i="1" s="1"/>
  <c r="J647" i="1" s="1"/>
  <c r="L614" i="1"/>
  <c r="F571" i="1"/>
  <c r="G661" i="1"/>
  <c r="L362" i="1"/>
  <c r="C27" i="10" s="1"/>
  <c r="D127" i="2"/>
  <c r="D128" i="2" s="1"/>
  <c r="J634" i="1"/>
  <c r="C18" i="10"/>
  <c r="I662" i="1"/>
  <c r="D14" i="13"/>
  <c r="C14" i="13" s="1"/>
  <c r="C20" i="10"/>
  <c r="D12" i="13"/>
  <c r="C12" i="13" s="1"/>
  <c r="G257" i="1"/>
  <c r="G271" i="1" s="1"/>
  <c r="K257" i="1"/>
  <c r="K271" i="1" s="1"/>
  <c r="I257" i="1"/>
  <c r="I271" i="1" s="1"/>
  <c r="F257" i="1"/>
  <c r="F271" i="1" s="1"/>
  <c r="L247" i="1"/>
  <c r="H660" i="1" s="1"/>
  <c r="H664" i="1" s="1"/>
  <c r="H667" i="1" s="1"/>
  <c r="C17" i="10"/>
  <c r="E8" i="13"/>
  <c r="C8" i="13" s="1"/>
  <c r="C120" i="2"/>
  <c r="D7" i="13"/>
  <c r="C7" i="13" s="1"/>
  <c r="C13" i="10"/>
  <c r="D5" i="13"/>
  <c r="C5" i="13" s="1"/>
  <c r="H257" i="1"/>
  <c r="H271" i="1" s="1"/>
  <c r="C11" i="10"/>
  <c r="C115" i="2"/>
  <c r="C10" i="10"/>
  <c r="E128" i="2"/>
  <c r="D63" i="2"/>
  <c r="D145" i="2"/>
  <c r="C78" i="2"/>
  <c r="C81" i="2" s="1"/>
  <c r="L211" i="1"/>
  <c r="E109" i="2"/>
  <c r="E115" i="2" s="1"/>
  <c r="G81" i="2"/>
  <c r="C62" i="2"/>
  <c r="C63" i="2" s="1"/>
  <c r="F661" i="1"/>
  <c r="I661" i="1" s="1"/>
  <c r="C19" i="10"/>
  <c r="C15" i="10"/>
  <c r="G112" i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C124" i="2"/>
  <c r="C16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G635" i="1"/>
  <c r="J635" i="1" s="1"/>
  <c r="E145" i="2" l="1"/>
  <c r="G664" i="1"/>
  <c r="G667" i="1" s="1"/>
  <c r="D104" i="2"/>
  <c r="C104" i="2"/>
  <c r="H646" i="1"/>
  <c r="J646" i="1" s="1"/>
  <c r="G672" i="1"/>
  <c r="C5" i="10" s="1"/>
  <c r="C128" i="2"/>
  <c r="C145" i="2" s="1"/>
  <c r="L257" i="1"/>
  <c r="L271" i="1" s="1"/>
  <c r="G632" i="1" s="1"/>
  <c r="J632" i="1" s="1"/>
  <c r="F660" i="1"/>
  <c r="F664" i="1" s="1"/>
  <c r="F672" i="1" s="1"/>
  <c r="C4" i="10" s="1"/>
  <c r="H672" i="1"/>
  <c r="C6" i="10" s="1"/>
  <c r="C28" i="10"/>
  <c r="D24" i="10" s="1"/>
  <c r="D31" i="13"/>
  <c r="C31" i="13" s="1"/>
  <c r="G104" i="2"/>
  <c r="E33" i="13"/>
  <c r="D35" i="13" s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0" i="1"/>
  <c r="I664" i="1" s="1"/>
  <c r="I672" i="1" s="1"/>
  <c r="C7" i="10" s="1"/>
  <c r="F667" i="1"/>
  <c r="D16" i="10"/>
  <c r="D10" i="10"/>
  <c r="D23" i="10"/>
  <c r="D26" i="10"/>
  <c r="C30" i="10"/>
  <c r="D20" i="10"/>
  <c r="D19" i="10"/>
  <c r="D13" i="10"/>
  <c r="D11" i="10"/>
  <c r="D21" i="10"/>
  <c r="D22" i="10"/>
  <c r="D15" i="10"/>
  <c r="D25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<sst xmlns="http://schemas.openxmlformats.org/spreadsheetml/2006/main" count="3958" uniqueCount="914">
  <si>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</si>
  <si>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</si>
  <si>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</si>
  <si>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</si>
  <si>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</si>
  <si>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</si>
  <si>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</si>
  <si>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</si>
  <si>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</si>
  <si>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</si>
  <si>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</si>
  <si>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</si>
  <si>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</si>
  <si>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</si>
  <si>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</si>
  <si>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</si>
  <si>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</si>
  <si>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</si>
  <si>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</si>
  <si>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</si>
  <si>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</si>
  <si>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</si>
  <si>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</si>
  <si>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</si>
  <si>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</si>
  <si>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</si>
  <si>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</si>
  <si>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</si>
  <si>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</si>
  <si>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</si>
  <si>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</si>
  <si>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</si>
  <si>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</si>
  <si>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</si>
  <si>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</si>
  <si>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</si>
  <si>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</si>
  <si>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</si>
  <si>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</si>
  <si>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</si>
  <si>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</si>
  <si>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</si>
  <si>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</si>
  <si>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</si>
  <si>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</si>
  <si>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</si>
  <si>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</si>
  <si>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</si>
  <si>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</si>
  <si>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</si>
  <si>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</si>
  <si>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</si>
  <si>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</si>
  <si>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</si>
  <si>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</si>
  <si>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</si>
  <si>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</si>
  <si>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</si>
  <si>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</si>
  <si>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</si>
  <si>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</si>
  <si>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</si>
  <si>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</si>
  <si>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</si>
  <si>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</si>
  <si>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</si>
  <si>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</si>
  <si>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</si>
  <si>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</si>
  <si>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</si>
  <si>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</si>
  <si>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</si>
  <si>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</si>
  <si>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</si>
  <si>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</si>
  <si>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</si>
  <si>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</si>
  <si>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</si>
  <si>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</si>
  <si>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</si>
  <si>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</si>
  <si>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</si>
  <si>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</si>
  <si>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</si>
  <si>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</si>
  <si>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</si>
  <si>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</si>
  <si>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</si>
  <si>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</si>
  <si>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</si>
  <si>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</si>
  <si>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</si>
  <si>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</si>
  <si>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</si>
  <si>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</si>
  <si>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</si>
  <si>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</si>
  <si>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</si>
  <si>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</si>
  <si>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</si>
  <si>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</si>
  <si>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</si>
  <si>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</si>
  <si>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</si>
  <si>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</si>
  <si>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</si>
  <si>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</si>
  <si>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</si>
  <si>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</si>
  <si>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</si>
  <si>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</si>
  <si>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</si>
  <si>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</si>
  <si>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</si>
  <si>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</si>
  <si>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</si>
  <si>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</si>
  <si>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</si>
  <si>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</si>
  <si>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</si>
  <si>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</si>
  <si>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</si>
  <si>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</si>
  <si>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</si>
  <si>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</si>
  <si>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</si>
  <si>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</si>
  <si>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</si>
  <si>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</si>
  <si>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</si>
  <si>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</si>
  <si>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</si>
  <si>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</si>
  <si>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</si>
  <si>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</si>
  <si>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</si>
  <si>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</si>
  <si>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</si>
  <si>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</si>
  <si>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</si>
  <si>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</si>
  <si>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</si>
  <si>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</si>
  <si>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</si>
  <si>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</si>
  <si>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</si>
  <si>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</si>
  <si>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</si>
  <si>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</si>
  <si>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</si>
  <si>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</si>
  <si>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</si>
  <si>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</si>
  <si>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</si>
  <si>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</si>
  <si>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</si>
  <si>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</si>
  <si>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</si>
  <si>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</si>
  <si>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</si>
  <si>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</si>
  <si>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</si>
  <si>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</si>
  <si>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</si>
  <si>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</si>
  <si>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</si>
  <si>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</si>
  <si>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</si>
  <si>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</si>
  <si>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</si>
  <si>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</si>
  <si>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</si>
  <si>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</si>
  <si>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</si>
  <si>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</si>
  <si>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</si>
  <si>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</si>
  <si>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</si>
  <si>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</si>
  <si>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</si>
  <si>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</si>
  <si>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</si>
  <si>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</si>
  <si>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</si>
  <si>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</si>
  <si>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</si>
  <si>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</si>
  <si>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</si>
  <si>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</si>
  <si>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</si>
  <si>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</si>
  <si>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</si>
  <si>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</si>
  <si>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</si>
  <si>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</si>
  <si>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</si>
  <si>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</si>
  <si>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</si>
  <si>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</si>
  <si>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</si>
  <si>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</si>
  <si>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</si>
  <si>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</si>
  <si>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</si>
  <si>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</si>
  <si>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</si>
  <si>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</si>
  <si>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</si>
  <si>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</si>
  <si>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</si>
  <si>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</si>
  <si>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</si>
  <si>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</si>
  <si>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</si>
  <si>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</si>
  <si>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</si>
  <si>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</si>
  <si>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</si>
  <si>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</si>
  <si>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</si>
  <si>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</si>
  <si>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</si>
  <si>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</si>
  <si>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</si>
  <si>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</si>
  <si>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</si>
  <si>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</si>
  <si>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</si>
  <si>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</si>
  <si>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</si>
  <si>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</si>
  <si>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</si>
  <si>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</si>
  <si>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</si>
  <si>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</si>
  <si>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</si>
  <si>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</si>
  <si>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</si>
  <si>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</si>
  <si>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</si>
  <si>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</si>
  <si>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</si>
  <si>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</si>
  <si>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</si>
  <si>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</si>
  <si>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</si>
  <si>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</si>
  <si>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</si>
  <si>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</si>
  <si>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</si>
  <si>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</si>
  <si>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</si>
  <si>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</si>
  <si>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</si>
  <si>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</si>
  <si>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</si>
  <si>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</si>
  <si>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</si>
  <si>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</si>
  <si>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</si>
  <si>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</si>
  <si>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</si>
  <si>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</si>
  <si>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</si>
  <si>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</si>
  <si>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</si>
  <si>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</si>
  <si>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</si>
  <si>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</si>
  <si>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</si>
  <si>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</si>
  <si>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</si>
  <si>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</si>
  <si>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</si>
  <si>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</si>
  <si>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</si>
  <si>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</si>
  <si>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</si>
  <si>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</si>
  <si>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</si>
  <si>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</si>
  <si>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</si>
  <si>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</si>
  <si>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</si>
  <si>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</si>
  <si>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</si>
  <si>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</si>
  <si>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</si>
  <si>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</si>
  <si>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</si>
  <si>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</si>
  <si>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</si>
  <si>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</si>
  <si>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</si>
  <si>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</si>
  <si>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</si>
  <si>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</si>
  <si>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</si>
  <si>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</si>
  <si>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</si>
  <si>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</si>
  <si>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</si>
  <si>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</si>
  <si>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</si>
  <si>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</si>
  <si>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</si>
  <si>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</si>
  <si>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</si>
  <si>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</si>
  <si>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</si>
  <si>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</si>
  <si>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</si>
  <si>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</si>
  <si>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</si>
  <si>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</si>
  <si>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</si>
  <si>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</si>
  <si>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</si>
  <si>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</si>
  <si>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</si>
  <si>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</si>
  <si>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</si>
  <si>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</si>
  <si>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</si>
  <si>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</si>
  <si>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</si>
  <si>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</si>
  <si>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</si>
  <si>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</si>
  <si>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</si>
  <si>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</si>
  <si>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</si>
  <si>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</si>
  <si>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</si>
  <si>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</si>
  <si>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</si>
  <si>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</si>
  <si>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</si>
  <si>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</si>
  <si>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</si>
  <si>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</si>
  <si>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</si>
  <si>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</si>
  <si>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</si>
  <si>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</si>
  <si>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</si>
  <si>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</si>
  <si>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</si>
  <si>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</si>
  <si>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</si>
  <si>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</si>
  <si>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</si>
  <si>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</si>
  <si>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</si>
  <si>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</si>
  <si>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</si>
  <si>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</si>
  <si>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</si>
  <si>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</si>
  <si>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</si>
  <si>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</si>
  <si>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</si>
  <si>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</si>
  <si>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</si>
  <si>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</si>
  <si>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</si>
  <si>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</si>
  <si>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</si>
  <si>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</si>
  <si>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</si>
  <si>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</si>
  <si>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</si>
  <si>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</si>
  <si>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</si>
  <si>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</si>
  <si>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</si>
  <si>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</si>
  <si>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</si>
  <si>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</si>
  <si>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</si>
  <si>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</si>
  <si>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</si>
  <si>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</si>
  <si>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</si>
  <si>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</si>
  <si>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</si>
  <si>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</si>
  <si>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</si>
  <si>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</si>
  <si>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</si>
  <si>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</si>
  <si>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</si>
  <si>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</si>
  <si>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</si>
  <si>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</si>
  <si>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</si>
  <si>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</si>
  <si>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</si>
  <si>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</si>
  <si>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</si>
  <si>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</si>
  <si>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</si>
  <si>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</si>
  <si>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</si>
  <si>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</si>
  <si>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</si>
  <si>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</si>
  <si>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</si>
  <si>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</si>
  <si>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</si>
  <si>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</si>
  <si>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</si>
  <si>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</si>
  <si>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</si>
  <si>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</si>
  <si>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</si>
  <si>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</si>
  <si>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</si>
  <si>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</si>
  <si>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</si>
  <si>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</si>
  <si>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</si>
  <si>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</si>
  <si>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</si>
  <si>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</si>
  <si>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</si>
  <si>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</si>
  <si>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</si>
  <si>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</si>
  <si>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</si>
  <si>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</si>
  <si>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</si>
  <si>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</si>
  <si>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</si>
  <si>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</si>
  <si>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</si>
  <si>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</si>
  <si>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</si>
  <si>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</si>
  <si>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</si>
  <si>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</si>
  <si>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</si>
  <si>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</si>
  <si>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</si>
  <si>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</si>
  <si>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</si>
  <si>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</si>
  <si>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</si>
  <si>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</si>
  <si>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</si>
  <si>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</si>
  <si>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</si>
  <si>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</si>
  <si>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</si>
  <si>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</si>
  <si>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</si>
  <si>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</si>
  <si>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</si>
  <si>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</si>
  <si>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</si>
  <si>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</si>
  <si>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</si>
  <si>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</si>
  <si>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</si>
  <si>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</si>
  <si>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</si>
  <si>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</si>
  <si>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</si>
  <si>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</si>
  <si>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</si>
  <si>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</si>
  <si>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</si>
  <si>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</si>
  <si>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</si>
  <si>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</si>
  <si>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</si>
  <si>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</si>
  <si>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</si>
  <si>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</si>
  <si>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</si>
  <si>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</si>
  <si>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</si>
  <si>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</si>
  <si>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</si>
  <si>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</si>
  <si>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</si>
  <si>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</si>
  <si>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</si>
  <si>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</si>
  <si>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</si>
  <si>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</si>
  <si>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</si>
  <si>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</si>
  <si>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</si>
  <si>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</si>
  <si>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</si>
  <si>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</si>
  <si>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</si>
  <si>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</si>
  <si>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</si>
  <si>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</si>
  <si>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</si>
  <si>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</si>
  <si>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</si>
  <si>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</si>
  <si>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</si>
  <si>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</si>
  <si>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</si>
  <si>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</si>
  <si>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</si>
  <si>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</si>
  <si>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</si>
  <si>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</si>
  <si>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</si>
  <si>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</si>
  <si>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</si>
  <si>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</si>
  <si>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</si>
  <si>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</si>
  <si>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</si>
  <si>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</si>
  <si>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</si>
  <si>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</si>
  <si>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</si>
  <si>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</si>
  <si>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</si>
  <si>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</si>
  <si>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</si>
  <si>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</si>
  <si>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</si>
  <si>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</si>
  <si>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</si>
  <si>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</si>
  <si>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</si>
  <si>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</si>
  <si>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</si>
  <si>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</si>
  <si>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</si>
  <si>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</si>
  <si>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</si>
  <si>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</si>
  <si>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</si>
  <si>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</si>
  <si>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</si>
  <si>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</si>
  <si>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</si>
  <si>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</si>
  <si>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</si>
  <si>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</si>
  <si>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</si>
  <si>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</si>
  <si>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</si>
  <si>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</si>
  <si>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</si>
  <si>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</si>
  <si>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</si>
  <si>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</si>
  <si>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</si>
  <si>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</si>
  <si>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</si>
  <si>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</si>
  <si>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</si>
  <si>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</si>
  <si>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</si>
  <si>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</si>
  <si>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</si>
  <si>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</si>
  <si>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</si>
  <si>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</si>
  <si>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</si>
  <si>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</si>
  <si>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</si>
  <si>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</si>
  <si>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</si>
  <si>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</si>
  <si>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</si>
  <si>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</si>
  <si>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</si>
  <si>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</si>
  <si>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</si>
  <si>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</si>
  <si>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</si>
  <si>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</si>
  <si>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</si>
  <si>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</si>
  <si>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</si>
  <si>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</si>
  <si>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</si>
  <si>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</si>
  <si>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</si>
  <si>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</si>
  <si>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</si>
  <si>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</si>
  <si>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</si>
  <si>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</si>
  <si>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</si>
  <si>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</si>
  <si>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</si>
  <si>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</si>
  <si>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</si>
  <si>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</si>
  <si>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</si>
  <si>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</si>
  <si>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</si>
  <si>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</si>
  <si>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</si>
  <si>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</si>
  <si>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</si>
  <si>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</si>
  <si>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</si>
  <si>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</si>
  <si>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</si>
  <si>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</si>
  <si>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</si>
  <si>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</si>
  <si>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</si>
  <si>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</si>
  <si>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</si>
  <si>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</si>
  <si>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</si>
  <si>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</si>
  <si>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</si>
  <si>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</si>
  <si>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</si>
  <si>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</si>
  <si>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</si>
  <si>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</si>
  <si>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</si>
  <si>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</si>
  <si>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</si>
  <si>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</si>
  <si>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</si>
  <si>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</si>
  <si>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</si>
  <si>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</si>
  <si>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</si>
  <si>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</si>
  <si>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</si>
  <si>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</si>
  <si>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</si>
  <si>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</si>
  <si>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</si>
  <si>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</si>
  <si>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</si>
  <si>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</si>
  <si>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</si>
  <si>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</si>
  <si>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</si>
  <si>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</si>
  <si>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</si>
  <si>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</si>
  <si>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</si>
  <si>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</si>
  <si>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</si>
  <si>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</si>
  <si>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</si>
  <si>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</si>
  <si>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</si>
  <si>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</si>
  <si>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</si>
  <si>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</si>
  <si>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</si>
  <si>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</si>
  <si>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</si>
  <si>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</si>
  <si>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</si>
  <si>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</si>
  <si>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</si>
  <si>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</si>
  <si>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</si>
  <si>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</si>
  <si>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</si>
  <si>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</si>
  <si>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</si>
  <si>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</si>
  <si>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</si>
  <si>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</si>
  <si>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</si>
  <si>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</si>
  <si>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</si>
  <si>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</si>
  <si>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</si>
  <si>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</si>
  <si>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</si>
  <si>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</si>
  <si>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</si>
  <si>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</si>
  <si>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</si>
  <si>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</si>
  <si>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</si>
  <si>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</si>
  <si>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</si>
  <si>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</si>
  <si>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</si>
  <si>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</si>
  <si>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</si>
  <si>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</si>
  <si>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</si>
  <si>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</si>
  <si>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</si>
  <si>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</si>
  <si>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</si>
  <si>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</si>
  <si>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</si>
  <si>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</si>
  <si>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</si>
  <si>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</si>
  <si>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</si>
  <si>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</si>
  <si>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</si>
  <si>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</si>
  <si>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</si>
  <si>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</si>
  <si>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</si>
  <si>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</si>
  <si>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</si>
  <si>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</si>
  <si>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</si>
  <si>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</si>
  <si>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</si>
  <si>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</si>
  <si>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</si>
  <si>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</si>
  <si>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</si>
  <si>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</si>
  <si>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</si>
  <si>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</si>
  <si>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</si>
  <si>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</si>
  <si>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</si>
  <si>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</si>
  <si>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</si>
  <si>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</si>
  <si>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</si>
  <si>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</si>
  <si>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</si>
  <si>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</si>
  <si>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</si>
  <si>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</si>
  <si>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</si>
  <si>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</si>
  <si>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</si>
  <si>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</si>
  <si>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</si>
  <si>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</si>
  <si>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</si>
  <si>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</si>
  <si>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</si>
  <si>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</si>
  <si>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</si>
  <si>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</si>
  <si>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</si>
  <si>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</si>
  <si>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</si>
  <si>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</si>
  <si>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</si>
  <si>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</si>
  <si>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</si>
  <si>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</si>
  <si>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</si>
  <si>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</si>
  <si>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</si>
  <si>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</si>
  <si>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</si>
  <si>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</si>
  <si>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</si>
  <si>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</si>
  <si>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</si>
  <si>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</si>
  <si>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</si>
  <si>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</si>
  <si>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</si>
  <si>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</si>
  <si>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</si>
  <si>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</si>
  <si>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</si>
  <si>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</si>
  <si>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</si>
  <si>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</si>
  <si>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</si>
  <si>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</si>
  <si>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</si>
  <si>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</si>
  <si>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</si>
  <si>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</si>
  <si>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</si>
  <si>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</si>
  <si>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</si>
  <si>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</si>
  <si>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</si>
  <si>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</si>
  <si>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</si>
  <si>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</si>
  <si>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</si>
  <si>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</si>
  <si>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</si>
  <si>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</si>
  <si>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</si>
  <si>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</si>
  <si>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</si>
  <si>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</si>
  <si>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</si>
  <si>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</si>
  <si>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</si>
  <si>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</si>
  <si>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</si>
  <si>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</si>
  <si>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</si>
  <si>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</si>
  <si>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</si>
  <si>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</si>
  <si>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</si>
  <si>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</si>
  <si>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</si>
  <si>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</si>
  <si>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</si>
  <si>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</si>
  <si>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</si>
  <si>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</si>
  <si>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</si>
  <si>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</si>
  <si>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</si>
  <si>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</si>
  <si>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</si>
  <si>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</si>
  <si>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</si>
  <si>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</si>
  <si>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</si>
  <si>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</si>
  <si>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</si>
  <si>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</si>
  <si>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</si>
  <si>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</si>
  <si>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</si>
  <si>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</si>
  <si>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</si>
  <si>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</si>
  <si>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</si>
  <si>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</si>
  <si>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</si>
  <si>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</si>
  <si>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</si>
  <si>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</si>
  <si>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</si>
  <si>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</si>
  <si>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</si>
  <si>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</si>
  <si>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</si>
  <si>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</si>
  <si>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</si>
  <si>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</si>
  <si>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</si>
  <si>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</si>
  <si>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</si>
  <si>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</si>
  <si>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</si>
  <si>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</si>
  <si>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</si>
  <si>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</si>
  <si>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</si>
  <si>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</si>
  <si>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</si>
  <si>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</si>
  <si>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</si>
  <si>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</si>
  <si>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</si>
  <si>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</si>
  <si>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</si>
  <si>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</si>
  <si>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</si>
  <si>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</si>
  <si>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</si>
  <si>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</si>
  <si>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</si>
  <si>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</si>
  <si>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</si>
  <si>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</si>
  <si>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</si>
  <si>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</si>
  <si>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</si>
  <si>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</si>
  <si>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</si>
  <si>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</si>
  <si>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</si>
  <si>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</si>
  <si>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</si>
  <si>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</si>
  <si>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</si>
  <si>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</si>
  <si>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</si>
  <si>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</si>
  <si>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</si>
  <si>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</si>
  <si>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</si>
  <si>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</si>
  <si>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</si>
  <si>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</si>
  <si>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</si>
  <si>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</si>
  <si>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</si>
  <si>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</si>
  <si>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</si>
  <si>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</si>
  <si>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</si>
  <si>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</si>
  <si>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</si>
  <si>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</si>
  <si>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</si>
  <si>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</si>
  <si>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</si>
  <si>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</si>
  <si>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</si>
  <si>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.</t>
  </si>
  <si>
    <t>Rye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</si>
</sst>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471</v>
      </c>
      <c r="C2" s="21">
        <v>471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882330.47</v>
      </c>
      <c r="G9" s="18"/>
      <c r="H9" s="18">
        <v>43996.45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263710.11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1497.32</v>
      </c>
      <c r="G12" s="18"/>
      <c r="H12" s="18">
        <v>17292.82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1497.32</v>
      </c>
      <c r="H13" s="18">
        <v>1908.68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970.04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368.05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884797.83</v>
      </c>
      <c r="G19" s="41">
        <f>SUM(G9:G18)</f>
        <v>1865.37</v>
      </c>
      <c r="H19" s="41">
        <f>SUM(H9:H18)</f>
        <v>63197.95</v>
      </c>
      <c r="I19" s="41">
        <f>SUM(I9:I18)</f>
        <v>0</v>
      </c>
      <c r="J19" s="41">
        <f>SUM(J9:J18)</f>
        <v>263710.11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17292.82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18790.14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109420.91</v>
      </c>
      <c r="G24" s="18">
        <v>1497.32</v>
      </c>
      <c r="H24" s="18">
        <v>1908.68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12600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140811.04999999999</v>
      </c>
      <c r="G32" s="41">
        <f>SUM(G22:G31)</f>
        <v>1497.32</v>
      </c>
      <c r="H32" s="41">
        <f>SUM(H22:H31)</f>
        <v>19201.5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368.05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332721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43996.45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263710.11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411265.78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743986.78</v>
      </c>
      <c r="G51" s="41">
        <f>SUM(G35:G50)</f>
        <v>368.05</v>
      </c>
      <c r="H51" s="41">
        <f>SUM(H35:H50)</f>
        <v>43996.45</v>
      </c>
      <c r="I51" s="41">
        <f>SUM(I35:I50)</f>
        <v>0</v>
      </c>
      <c r="J51" s="41">
        <f>SUM(J35:J50)</f>
        <v>263710.11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884797.83000000007</v>
      </c>
      <c r="G52" s="41">
        <f>G51+G32</f>
        <v>1865.37</v>
      </c>
      <c r="H52" s="41">
        <f>H51+H32</f>
        <v>63197.95</v>
      </c>
      <c r="I52" s="41">
        <f>I51+I32</f>
        <v>0</v>
      </c>
      <c r="J52" s="41">
        <f>J51+J32</f>
        <v>263710.11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8613820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8613820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5125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73878.559999999998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79003.56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2995.07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110195.15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42896.65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145247.01999999999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1343.77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146590.78999999998</v>
      </c>
      <c r="G111" s="41">
        <f>SUM(G96:G110)</f>
        <v>110195.15</v>
      </c>
      <c r="H111" s="41">
        <f>SUM(H96:H110)</f>
        <v>42896.65</v>
      </c>
      <c r="I111" s="41">
        <f>SUM(I96:I110)</f>
        <v>0</v>
      </c>
      <c r="J111" s="41">
        <f>SUM(J96:J110)</f>
        <v>2995.07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8839414.3499999996</v>
      </c>
      <c r="G112" s="41">
        <f>G60+G111</f>
        <v>110195.15</v>
      </c>
      <c r="H112" s="41">
        <f>H60+H79+H94+H111</f>
        <v>42896.65</v>
      </c>
      <c r="I112" s="41">
        <f>I60+I111</f>
        <v>0</v>
      </c>
      <c r="J112" s="41">
        <f>J60+J111</f>
        <v>2995.07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4695014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4695014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42228.7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2150.2199999999998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42228.7</v>
      </c>
      <c r="G136" s="41">
        <f>SUM(G123:G135)</f>
        <v>2150.2199999999998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4737242.7</v>
      </c>
      <c r="G140" s="41">
        <f>G121+SUM(G136:G137)</f>
        <v>2150.2199999999998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13682.65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19392.77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20408.54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20408.54</v>
      </c>
      <c r="G162" s="41">
        <f>SUM(G150:G161)</f>
        <v>19392.77</v>
      </c>
      <c r="H162" s="41">
        <f>SUM(H150:H161)</f>
        <v>13682.65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20408.54</v>
      </c>
      <c r="G169" s="41">
        <f>G147+G162+SUM(G163:G168)</f>
        <v>19392.77</v>
      </c>
      <c r="H169" s="41">
        <f>H147+H162+SUM(H163:H168)</f>
        <v>13682.65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40457.86</v>
      </c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40457.86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40457.86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13597065.59</v>
      </c>
      <c r="G193" s="47">
        <f>G112+G140+G169+G192</f>
        <v>172196</v>
      </c>
      <c r="H193" s="47">
        <f>H112+H140+H169+H192</f>
        <v>56579.3</v>
      </c>
      <c r="I193" s="47">
        <f>I112+I140+I169+I192</f>
        <v>0</v>
      </c>
      <c r="J193" s="47">
        <f>J112+J140+J192</f>
        <v>77995.070000000007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3080376.87</v>
      </c>
      <c r="G197" s="18">
        <v>1361889.6</v>
      </c>
      <c r="H197" s="18">
        <v>23365.33</v>
      </c>
      <c r="I197" s="18">
        <v>93195.65</v>
      </c>
      <c r="J197" s="18">
        <v>11509.7</v>
      </c>
      <c r="K197" s="18"/>
      <c r="L197" s="19">
        <f>SUM(F197:K197)</f>
        <v>4570337.1500000013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878202.83</v>
      </c>
      <c r="G198" s="18">
        <f>7521.35+388269.15</f>
        <v>395790.5</v>
      </c>
      <c r="H198" s="18">
        <v>61694.34</v>
      </c>
      <c r="I198" s="18">
        <v>2821.74</v>
      </c>
      <c r="J198" s="18">
        <v>6868.86</v>
      </c>
      <c r="K198" s="18"/>
      <c r="L198" s="19">
        <f>SUM(F198:K198)</f>
        <v>1345378.2700000003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79315.25</v>
      </c>
      <c r="G200" s="18">
        <v>6319.69</v>
      </c>
      <c r="H200" s="18">
        <v>40758.339999999997</v>
      </c>
      <c r="I200" s="18">
        <v>1968.69</v>
      </c>
      <c r="J200" s="18"/>
      <c r="K200" s="18">
        <v>360</v>
      </c>
      <c r="L200" s="19">
        <f>SUM(F200:K200)</f>
        <v>128721.97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515490</v>
      </c>
      <c r="G202" s="18">
        <v>227907.33</v>
      </c>
      <c r="H202" s="18">
        <v>61914.07</v>
      </c>
      <c r="I202" s="18">
        <v>3851.44</v>
      </c>
      <c r="J202" s="18">
        <v>481</v>
      </c>
      <c r="K202" s="18"/>
      <c r="L202" s="19">
        <f t="shared" ref="L202:L208" si="0">SUM(F202:K202)</f>
        <v>809643.83999999985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298341.2</v>
      </c>
      <c r="G203" s="18">
        <f>45062.73+131901.97</f>
        <v>176964.7</v>
      </c>
      <c r="H203" s="18">
        <v>47100.97</v>
      </c>
      <c r="I203" s="18">
        <v>25518.560000000001</v>
      </c>
      <c r="J203" s="18">
        <v>55390.13</v>
      </c>
      <c r="K203" s="18">
        <v>839</v>
      </c>
      <c r="L203" s="19">
        <f t="shared" si="0"/>
        <v>604154.56000000006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9591</v>
      </c>
      <c r="G204" s="18">
        <f>234+833.6</f>
        <v>1067.5999999999999</v>
      </c>
      <c r="H204" s="18">
        <v>623240.68000000005</v>
      </c>
      <c r="I204" s="18">
        <v>282.33</v>
      </c>
      <c r="J204" s="18"/>
      <c r="K204" s="18">
        <v>6482.8</v>
      </c>
      <c r="L204" s="19">
        <f t="shared" si="0"/>
        <v>640664.41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343277.79</v>
      </c>
      <c r="G205" s="18">
        <f>1442.58+151769.24</f>
        <v>153211.81999999998</v>
      </c>
      <c r="H205" s="18">
        <v>25071.93</v>
      </c>
      <c r="I205" s="18">
        <v>1938.1</v>
      </c>
      <c r="J205" s="18">
        <v>698</v>
      </c>
      <c r="K205" s="18">
        <v>854.98</v>
      </c>
      <c r="L205" s="19">
        <f t="shared" si="0"/>
        <v>525052.62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>
        <v>9233.4699999999993</v>
      </c>
      <c r="L206" s="19">
        <f t="shared" si="0"/>
        <v>9233.4699999999993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307118.40000000002</v>
      </c>
      <c r="G207" s="18">
        <v>135782.53</v>
      </c>
      <c r="H207" s="18">
        <v>172330.52</v>
      </c>
      <c r="I207" s="18">
        <v>161365.20000000001</v>
      </c>
      <c r="J207" s="18">
        <v>34886.39</v>
      </c>
      <c r="K207" s="18"/>
      <c r="L207" s="19">
        <f t="shared" si="0"/>
        <v>811483.04000000015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275499.5</v>
      </c>
      <c r="I208" s="18"/>
      <c r="J208" s="18"/>
      <c r="K208" s="18"/>
      <c r="L208" s="19">
        <f t="shared" si="0"/>
        <v>275499.5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2977.99</v>
      </c>
      <c r="H209" s="18">
        <v>13547.95</v>
      </c>
      <c r="I209" s="18">
        <v>136.44999999999999</v>
      </c>
      <c r="J209" s="18"/>
      <c r="K209" s="18"/>
      <c r="L209" s="19">
        <f>SUM(F209:K209)</f>
        <v>16662.390000000003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5511713.3400000008</v>
      </c>
      <c r="G211" s="41">
        <f t="shared" si="1"/>
        <v>2461911.7600000002</v>
      </c>
      <c r="H211" s="41">
        <f t="shared" si="1"/>
        <v>1344523.63</v>
      </c>
      <c r="I211" s="41">
        <f t="shared" si="1"/>
        <v>291078.16000000003</v>
      </c>
      <c r="J211" s="41">
        <f t="shared" si="1"/>
        <v>109834.08</v>
      </c>
      <c r="K211" s="41">
        <f t="shared" si="1"/>
        <v>17770.25</v>
      </c>
      <c r="L211" s="41">
        <f t="shared" si="1"/>
        <v>9736831.2200000025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3091719.19</v>
      </c>
      <c r="I233" s="18"/>
      <c r="J233" s="18"/>
      <c r="K233" s="18"/>
      <c r="L233" s="19">
        <f>SUM(F233:K233)</f>
        <v>3091719.19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258741.28</v>
      </c>
      <c r="I234" s="18"/>
      <c r="J234" s="18"/>
      <c r="K234" s="18"/>
      <c r="L234" s="19">
        <f>SUM(F234:K234)</f>
        <v>258741.28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>
        <v>15519.16</v>
      </c>
      <c r="I236" s="18"/>
      <c r="J236" s="18"/>
      <c r="K236" s="18"/>
      <c r="L236" s="19">
        <f>SUM(F236:K236)</f>
        <v>15519.16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1066</v>
      </c>
      <c r="G240" s="18">
        <v>26</v>
      </c>
      <c r="H240" s="18">
        <v>69248.960000000006</v>
      </c>
      <c r="I240" s="18">
        <v>31.37</v>
      </c>
      <c r="J240" s="18"/>
      <c r="K240" s="18">
        <v>720.31</v>
      </c>
      <c r="L240" s="19">
        <f t="shared" si="4"/>
        <v>71092.639999999999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39482.91+43572.9</f>
        <v>83055.81</v>
      </c>
      <c r="I244" s="18"/>
      <c r="J244" s="18"/>
      <c r="K244" s="18"/>
      <c r="L244" s="19">
        <f t="shared" si="4"/>
        <v>83055.81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1066</v>
      </c>
      <c r="G247" s="41">
        <f t="shared" si="5"/>
        <v>26</v>
      </c>
      <c r="H247" s="41">
        <f t="shared" si="5"/>
        <v>3518284.4</v>
      </c>
      <c r="I247" s="41">
        <f t="shared" si="5"/>
        <v>31.37</v>
      </c>
      <c r="J247" s="41">
        <f t="shared" si="5"/>
        <v>0</v>
      </c>
      <c r="K247" s="41">
        <f t="shared" si="5"/>
        <v>720.31</v>
      </c>
      <c r="L247" s="41">
        <f t="shared" si="5"/>
        <v>3520128.08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136658.23999999999</v>
      </c>
      <c r="I255" s="18"/>
      <c r="J255" s="18"/>
      <c r="K255" s="18"/>
      <c r="L255" s="19">
        <f t="shared" si="6"/>
        <v>136658.23999999999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136658.23999999999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136658.23999999999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5512779.3400000008</v>
      </c>
      <c r="G257" s="41">
        <f t="shared" si="8"/>
        <v>2461937.7600000002</v>
      </c>
      <c r="H257" s="41">
        <f t="shared" si="8"/>
        <v>4999466.2699999996</v>
      </c>
      <c r="I257" s="41">
        <f t="shared" si="8"/>
        <v>291109.53000000003</v>
      </c>
      <c r="J257" s="41">
        <f t="shared" si="8"/>
        <v>109834.08</v>
      </c>
      <c r="K257" s="41">
        <f t="shared" si="8"/>
        <v>18490.560000000001</v>
      </c>
      <c r="L257" s="41">
        <f t="shared" si="8"/>
        <v>13393617.540000003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40457.86</v>
      </c>
      <c r="L263" s="19">
        <f>SUM(F263:K263)</f>
        <v>40457.86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115457.86</v>
      </c>
      <c r="L270" s="41">
        <f t="shared" si="9"/>
        <v>115457.86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5512779.3400000008</v>
      </c>
      <c r="G271" s="42">
        <f t="shared" si="11"/>
        <v>2461937.7600000002</v>
      </c>
      <c r="H271" s="42">
        <f t="shared" si="11"/>
        <v>4999466.2699999996</v>
      </c>
      <c r="I271" s="42">
        <f t="shared" si="11"/>
        <v>291109.53000000003</v>
      </c>
      <c r="J271" s="42">
        <f t="shared" si="11"/>
        <v>109834.08</v>
      </c>
      <c r="K271" s="42">
        <f t="shared" si="11"/>
        <v>133948.42000000001</v>
      </c>
      <c r="L271" s="42">
        <f t="shared" si="11"/>
        <v>13509075.400000002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>
        <v>6862.81</v>
      </c>
      <c r="I276" s="18">
        <v>48646.69</v>
      </c>
      <c r="J276" s="18">
        <v>10251.14</v>
      </c>
      <c r="K276" s="18">
        <v>1776.62</v>
      </c>
      <c r="L276" s="19">
        <f>SUM(F276:K276)</f>
        <v>67537.259999999995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9650</v>
      </c>
      <c r="G279" s="18"/>
      <c r="H279" s="18"/>
      <c r="I279" s="18"/>
      <c r="J279" s="18"/>
      <c r="K279" s="18"/>
      <c r="L279" s="19">
        <f>SUM(F279:K279)</f>
        <v>9650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6679.1</v>
      </c>
      <c r="G282" s="18">
        <v>1128.98</v>
      </c>
      <c r="H282" s="18"/>
      <c r="I282" s="18"/>
      <c r="J282" s="18"/>
      <c r="K282" s="18"/>
      <c r="L282" s="19">
        <f t="shared" si="12"/>
        <v>7808.08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16329.1</v>
      </c>
      <c r="G290" s="42">
        <f t="shared" si="13"/>
        <v>1128.98</v>
      </c>
      <c r="H290" s="42">
        <f t="shared" si="13"/>
        <v>6862.81</v>
      </c>
      <c r="I290" s="42">
        <f t="shared" si="13"/>
        <v>48646.69</v>
      </c>
      <c r="J290" s="42">
        <f t="shared" si="13"/>
        <v>10251.14</v>
      </c>
      <c r="K290" s="42">
        <f t="shared" si="13"/>
        <v>1776.62</v>
      </c>
      <c r="L290" s="41">
        <f t="shared" si="13"/>
        <v>84995.34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16329.1</v>
      </c>
      <c r="G338" s="41">
        <f t="shared" si="20"/>
        <v>1128.98</v>
      </c>
      <c r="H338" s="41">
        <f t="shared" si="20"/>
        <v>6862.81</v>
      </c>
      <c r="I338" s="41">
        <f t="shared" si="20"/>
        <v>48646.69</v>
      </c>
      <c r="J338" s="41">
        <f t="shared" si="20"/>
        <v>10251.14</v>
      </c>
      <c r="K338" s="41">
        <f t="shared" si="20"/>
        <v>1776.62</v>
      </c>
      <c r="L338" s="41">
        <f t="shared" si="20"/>
        <v>84995.34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16329.1</v>
      </c>
      <c r="G352" s="41">
        <f>G338</f>
        <v>1128.98</v>
      </c>
      <c r="H352" s="41">
        <f>H338</f>
        <v>6862.81</v>
      </c>
      <c r="I352" s="41">
        <f>I338</f>
        <v>48646.69</v>
      </c>
      <c r="J352" s="41">
        <f>J338</f>
        <v>10251.14</v>
      </c>
      <c r="K352" s="47">
        <f>K338+K351</f>
        <v>1776.62</v>
      </c>
      <c r="L352" s="41">
        <f>L338+L351</f>
        <v>84995.34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79160.55</v>
      </c>
      <c r="G358" s="18">
        <f>90+34998.27</f>
        <v>35088.269999999997</v>
      </c>
      <c r="H358" s="18">
        <v>3687.71</v>
      </c>
      <c r="I358" s="18">
        <f>52727.26-36.66</f>
        <v>52690.6</v>
      </c>
      <c r="J358" s="18">
        <v>1775.63</v>
      </c>
      <c r="K358" s="18"/>
      <c r="L358" s="13">
        <f>SUM(F358:K358)</f>
        <v>172402.76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79160.55</v>
      </c>
      <c r="G362" s="47">
        <f t="shared" si="22"/>
        <v>35088.269999999997</v>
      </c>
      <c r="H362" s="47">
        <f t="shared" si="22"/>
        <v>3687.71</v>
      </c>
      <c r="I362" s="47">
        <f t="shared" si="22"/>
        <v>52690.6</v>
      </c>
      <c r="J362" s="47">
        <f t="shared" si="22"/>
        <v>1775.63</v>
      </c>
      <c r="K362" s="47">
        <f t="shared" si="22"/>
        <v>0</v>
      </c>
      <c r="L362" s="47">
        <f t="shared" si="22"/>
        <v>172402.76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46607.56</v>
      </c>
      <c r="G367" s="18"/>
      <c r="H367" s="18"/>
      <c r="I367" s="56">
        <f>SUM(F367:H367)</f>
        <v>46607.56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6083.04</v>
      </c>
      <c r="G368" s="63"/>
      <c r="H368" s="63"/>
      <c r="I368" s="56">
        <f>SUM(F368:H368)</f>
        <v>6083.04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52690.6</v>
      </c>
      <c r="G369" s="47">
        <f>SUM(G367:G368)</f>
        <v>0</v>
      </c>
      <c r="H369" s="47">
        <f>SUM(H367:H368)</f>
        <v>0</v>
      </c>
      <c r="I369" s="47">
        <f>SUM(I367:I368)</f>
        <v>52690.6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75000</v>
      </c>
      <c r="H396" s="18">
        <v>1376.58</v>
      </c>
      <c r="I396" s="18"/>
      <c r="J396" s="24" t="s">
        <v>286</v>
      </c>
      <c r="K396" s="24" t="s">
        <v>286</v>
      </c>
      <c r="L396" s="56">
        <f t="shared" si="26"/>
        <v>76376.58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1603.22</v>
      </c>
      <c r="I397" s="18"/>
      <c r="J397" s="24" t="s">
        <v>286</v>
      </c>
      <c r="K397" s="24" t="s">
        <v>286</v>
      </c>
      <c r="L397" s="56">
        <f t="shared" si="26"/>
        <v>1603.22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15.27</v>
      </c>
      <c r="I398" s="18"/>
      <c r="J398" s="24" t="s">
        <v>286</v>
      </c>
      <c r="K398" s="24" t="s">
        <v>286</v>
      </c>
      <c r="L398" s="56">
        <f t="shared" si="26"/>
        <v>15.27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2995.07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77995.070000000007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2995.07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77995.070000000007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>
        <v>263710.11</v>
      </c>
      <c r="I440" s="56">
        <f t="shared" si="33"/>
        <v>263710.11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263710.11</v>
      </c>
      <c r="I446" s="13">
        <f>SUM(I439:I445)</f>
        <v>263710.11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>
        <v>263710.11</v>
      </c>
      <c r="I454" s="56">
        <f t="shared" ref="I454:I459" si="34">SUM(F454:H454)</f>
        <v>263710.11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263710.11</v>
      </c>
      <c r="I460" s="83">
        <f>SUM(I454:I459)</f>
        <v>263710.11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263710.11</v>
      </c>
      <c r="I461" s="42">
        <f>I452+I460</f>
        <v>263710.11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655996.59</v>
      </c>
      <c r="G465" s="18">
        <v>574.80999999999995</v>
      </c>
      <c r="H465" s="18">
        <f>73175.81-763.32</f>
        <v>72412.489999999991</v>
      </c>
      <c r="I465" s="18"/>
      <c r="J465" s="18">
        <v>185715.04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13597065.59</v>
      </c>
      <c r="G468" s="18">
        <v>172196</v>
      </c>
      <c r="H468" s="18">
        <v>56579.3</v>
      </c>
      <c r="I468" s="18"/>
      <c r="J468" s="18">
        <v>77995.070000000007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13597065.59</v>
      </c>
      <c r="G470" s="53">
        <f>SUM(G468:G469)</f>
        <v>172196</v>
      </c>
      <c r="H470" s="53">
        <f>SUM(H468:H469)</f>
        <v>56579.3</v>
      </c>
      <c r="I470" s="53">
        <f>SUM(I468:I469)</f>
        <v>0</v>
      </c>
      <c r="J470" s="53">
        <f>SUM(J468:J469)</f>
        <v>77995.070000000007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13509075.4</v>
      </c>
      <c r="G472" s="18">
        <v>172402.76</v>
      </c>
      <c r="H472" s="18">
        <v>84995.34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13509075.4</v>
      </c>
      <c r="G474" s="53">
        <f>SUM(G472:G473)</f>
        <v>172402.76</v>
      </c>
      <c r="H474" s="53">
        <f>SUM(H472:H473)</f>
        <v>84995.34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743986.77999999933</v>
      </c>
      <c r="G476" s="53">
        <f>(G465+G470)- G474</f>
        <v>368.04999999998836</v>
      </c>
      <c r="H476" s="53">
        <f>(H465+H470)- H474</f>
        <v>43996.45</v>
      </c>
      <c r="I476" s="53">
        <f>(I465+I470)- I474</f>
        <v>0</v>
      </c>
      <c r="J476" s="53">
        <f>(J465+J470)- J474</f>
        <v>263710.11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785773.93</v>
      </c>
      <c r="G521" s="18">
        <v>353323.08</v>
      </c>
      <c r="H521" s="18">
        <f>69215.69-7390.86</f>
        <v>61824.83</v>
      </c>
      <c r="I521" s="18">
        <v>2821.74</v>
      </c>
      <c r="J521" s="18"/>
      <c r="K521" s="18">
        <v>6868.86</v>
      </c>
      <c r="L521" s="88">
        <f>SUM(F521:K521)</f>
        <v>1210612.4400000002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258741.28</v>
      </c>
      <c r="I523" s="18"/>
      <c r="J523" s="18"/>
      <c r="K523" s="18"/>
      <c r="L523" s="88">
        <f>SUM(F523:K523)</f>
        <v>258741.28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785773.93</v>
      </c>
      <c r="G524" s="108">
        <f t="shared" ref="G524:L524" si="36">SUM(G521:G523)</f>
        <v>353323.08</v>
      </c>
      <c r="H524" s="108">
        <f t="shared" si="36"/>
        <v>320566.11</v>
      </c>
      <c r="I524" s="108">
        <f t="shared" si="36"/>
        <v>2821.74</v>
      </c>
      <c r="J524" s="108">
        <f t="shared" si="36"/>
        <v>0</v>
      </c>
      <c r="K524" s="108">
        <f t="shared" si="36"/>
        <v>6868.86</v>
      </c>
      <c r="L524" s="89">
        <f t="shared" si="36"/>
        <v>1469353.7200000002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515490</v>
      </c>
      <c r="G526" s="18">
        <v>231789.97</v>
      </c>
      <c r="H526" s="18">
        <v>61914.07</v>
      </c>
      <c r="I526" s="18">
        <v>3851.44</v>
      </c>
      <c r="J526" s="18"/>
      <c r="K526" s="18">
        <v>481</v>
      </c>
      <c r="L526" s="88">
        <f>SUM(F526:K526)</f>
        <v>813526.47999999986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515490</v>
      </c>
      <c r="G529" s="89">
        <f t="shared" ref="G529:L529" si="37">SUM(G526:G528)</f>
        <v>231789.97</v>
      </c>
      <c r="H529" s="89">
        <f t="shared" si="37"/>
        <v>61914.07</v>
      </c>
      <c r="I529" s="89">
        <f t="shared" si="37"/>
        <v>3851.44</v>
      </c>
      <c r="J529" s="89">
        <f t="shared" si="37"/>
        <v>0</v>
      </c>
      <c r="K529" s="89">
        <f t="shared" si="37"/>
        <v>481</v>
      </c>
      <c r="L529" s="89">
        <f t="shared" si="37"/>
        <v>813526.47999999986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92428.9</v>
      </c>
      <c r="G531" s="18">
        <v>35289.82</v>
      </c>
      <c r="H531" s="18"/>
      <c r="I531" s="18"/>
      <c r="J531" s="18"/>
      <c r="K531" s="18"/>
      <c r="L531" s="88">
        <f>SUM(F531:K531)</f>
        <v>127718.72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92428.9</v>
      </c>
      <c r="G534" s="89">
        <f t="shared" ref="G534:L534" si="38">SUM(G531:G533)</f>
        <v>35289.82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127718.72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7390.86</v>
      </c>
      <c r="I536" s="18"/>
      <c r="J536" s="18"/>
      <c r="K536" s="18"/>
      <c r="L536" s="88">
        <f>SUM(F536:K536)</f>
        <v>7390.86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7390.86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7390.86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10919.1</v>
      </c>
      <c r="I541" s="18"/>
      <c r="J541" s="18"/>
      <c r="K541" s="18"/>
      <c r="L541" s="88">
        <f>SUM(F541:K541)</f>
        <v>10919.1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39482.910000000003</v>
      </c>
      <c r="I543" s="18"/>
      <c r="J543" s="18"/>
      <c r="K543" s="18"/>
      <c r="L543" s="88">
        <f>SUM(F543:K543)</f>
        <v>39482.910000000003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50402.01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50402.01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1393692.83</v>
      </c>
      <c r="G545" s="89">
        <f t="shared" ref="G545:L545" si="41">G524+G529+G534+G539+G544</f>
        <v>620402.87</v>
      </c>
      <c r="H545" s="89">
        <f t="shared" si="41"/>
        <v>440273.05</v>
      </c>
      <c r="I545" s="89">
        <f t="shared" si="41"/>
        <v>6673.18</v>
      </c>
      <c r="J545" s="89">
        <f t="shared" si="41"/>
        <v>0</v>
      </c>
      <c r="K545" s="89">
        <f t="shared" si="41"/>
        <v>7349.86</v>
      </c>
      <c r="L545" s="89">
        <f t="shared" si="41"/>
        <v>2468391.79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1210612.4400000002</v>
      </c>
      <c r="G549" s="87">
        <f>L526</f>
        <v>813526.47999999986</v>
      </c>
      <c r="H549" s="87">
        <f>L531</f>
        <v>127718.72</v>
      </c>
      <c r="I549" s="87">
        <f>L536</f>
        <v>7390.86</v>
      </c>
      <c r="J549" s="87">
        <f>L541</f>
        <v>10919.1</v>
      </c>
      <c r="K549" s="87">
        <f>SUM(F549:J549)</f>
        <v>2170167.6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258741.28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39482.910000000003</v>
      </c>
      <c r="K551" s="87">
        <f>SUM(F551:J551)</f>
        <v>298224.19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1469353.7200000002</v>
      </c>
      <c r="G552" s="89">
        <f t="shared" si="42"/>
        <v>813526.47999999986</v>
      </c>
      <c r="H552" s="89">
        <f t="shared" si="42"/>
        <v>127718.72</v>
      </c>
      <c r="I552" s="89">
        <f t="shared" si="42"/>
        <v>7390.86</v>
      </c>
      <c r="J552" s="89">
        <f t="shared" si="42"/>
        <v>50402.01</v>
      </c>
      <c r="K552" s="89">
        <f t="shared" si="42"/>
        <v>2468391.79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63521.279999999999</v>
      </c>
      <c r="G557" s="18">
        <v>15886.66</v>
      </c>
      <c r="H557" s="18"/>
      <c r="I557" s="18"/>
      <c r="J557" s="18"/>
      <c r="K557" s="18"/>
      <c r="L557" s="88">
        <f>SUM(F557:K557)</f>
        <v>79407.94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63521.279999999999</v>
      </c>
      <c r="G560" s="108">
        <f t="shared" si="43"/>
        <v>15886.66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79407.94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63521.279999999999</v>
      </c>
      <c r="G571" s="89">
        <f t="shared" ref="G571:L571" si="46">G560+G565+G570</f>
        <v>15886.66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79407.94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3091719.19</v>
      </c>
      <c r="I575" s="87">
        <f>SUM(F575:H575)</f>
        <v>3091719.19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70933.41</v>
      </c>
      <c r="I579" s="87">
        <f t="shared" si="47"/>
        <v>70933.41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224505.03</v>
      </c>
      <c r="I582" s="87">
        <f t="shared" si="47"/>
        <v>224505.03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246913.1</v>
      </c>
      <c r="I591" s="18"/>
      <c r="J591" s="18">
        <v>43572.9</v>
      </c>
      <c r="K591" s="104">
        <f t="shared" ref="K591:K597" si="48">SUM(H591:J591)</f>
        <v>290486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10919.1</v>
      </c>
      <c r="I592" s="18"/>
      <c r="J592" s="18">
        <v>39482.910000000003</v>
      </c>
      <c r="K592" s="104">
        <f t="shared" si="48"/>
        <v>50402.01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5620.97</v>
      </c>
      <c r="I594" s="18"/>
      <c r="J594" s="18"/>
      <c r="K594" s="104">
        <f t="shared" si="48"/>
        <v>5620.97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12046.33</v>
      </c>
      <c r="I595" s="18"/>
      <c r="J595" s="18"/>
      <c r="K595" s="104">
        <f t="shared" si="48"/>
        <v>12046.33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275499.5</v>
      </c>
      <c r="I598" s="108">
        <f>SUM(I591:I597)</f>
        <v>0</v>
      </c>
      <c r="J598" s="108">
        <f>SUM(J591:J597)</f>
        <v>83055.81</v>
      </c>
      <c r="K598" s="108">
        <f>SUM(K591:K597)</f>
        <v>358555.31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120085.22</v>
      </c>
      <c r="I604" s="18"/>
      <c r="J604" s="18"/>
      <c r="K604" s="104">
        <f>SUM(H604:J604)</f>
        <v>120085.22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120085.22</v>
      </c>
      <c r="I605" s="108">
        <f>SUM(I602:I604)</f>
        <v>0</v>
      </c>
      <c r="J605" s="108">
        <f>SUM(J602:J604)</f>
        <v>0</v>
      </c>
      <c r="K605" s="108">
        <f>SUM(K602:K604)</f>
        <v>120085.22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18720.25</v>
      </c>
      <c r="G611" s="18">
        <v>1432.09</v>
      </c>
      <c r="H611" s="18"/>
      <c r="I611" s="18"/>
      <c r="J611" s="18"/>
      <c r="K611" s="18"/>
      <c r="L611" s="88">
        <f>SUM(F611:K611)</f>
        <v>20152.34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>
        <v>15519.16</v>
      </c>
      <c r="I613" s="18"/>
      <c r="J613" s="18"/>
      <c r="K613" s="18"/>
      <c r="L613" s="88">
        <f>SUM(F613:K613)</f>
        <v>15519.16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18720.25</v>
      </c>
      <c r="G614" s="108">
        <f t="shared" si="49"/>
        <v>1432.09</v>
      </c>
      <c r="H614" s="108">
        <f t="shared" si="49"/>
        <v>15519.16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35671.5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884797.83</v>
      </c>
      <c r="H617" s="109">
        <f>SUM(F52)</f>
        <v>884797.83000000007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1865.37</v>
      </c>
      <c r="H618" s="109">
        <f>SUM(G52)</f>
        <v>1865.37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63197.95</v>
      </c>
      <c r="H619" s="109">
        <f>SUM(H52)</f>
        <v>63197.95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263710.11</v>
      </c>
      <c r="H621" s="109">
        <f>SUM(J52)</f>
        <v>263710.11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743986.78</v>
      </c>
      <c r="H622" s="109">
        <f>F476</f>
        <v>743986.77999999933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368.05</v>
      </c>
      <c r="H623" s="109">
        <f>G476</f>
        <v>368.04999999998836</v>
      </c>
      <c r="I623" s="121" t="s">
        <v>102</v>
      </c>
      <c r="J623" s="109">
        <f t="shared" si="50"/>
        <v>1.1652900866465643E-11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43996.45</v>
      </c>
      <c r="H624" s="109">
        <f>H476</f>
        <v>43996.45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263710.11</v>
      </c>
      <c r="H626" s="109">
        <f>J476</f>
        <v>263710.11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13597065.59</v>
      </c>
      <c r="H627" s="104">
        <f>SUM(F468)</f>
        <v>13597065.59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172196</v>
      </c>
      <c r="H628" s="104">
        <f>SUM(G468)</f>
        <v>172196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56579.3</v>
      </c>
      <c r="H629" s="104">
        <f>SUM(H468)</f>
        <v>56579.3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77995.070000000007</v>
      </c>
      <c r="H631" s="104">
        <f>SUM(J468)</f>
        <v>77995.070000000007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13509075.400000002</v>
      </c>
      <c r="H632" s="104">
        <f>SUM(F472)</f>
        <v>13509075.4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84995.34</v>
      </c>
      <c r="H633" s="104">
        <f>SUM(H472)</f>
        <v>84995.34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52690.6</v>
      </c>
      <c r="H634" s="104">
        <f>I369</f>
        <v>52690.6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172402.76</v>
      </c>
      <c r="H635" s="104">
        <f>SUM(G472)</f>
        <v>172402.76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77995.070000000007</v>
      </c>
      <c r="H637" s="164">
        <f>SUM(J468)</f>
        <v>77995.070000000007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263710.11</v>
      </c>
      <c r="H641" s="104">
        <f>SUM(H461)</f>
        <v>263710.11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263710.11</v>
      </c>
      <c r="H642" s="104">
        <f>SUM(I461)</f>
        <v>263710.11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2995.07</v>
      </c>
      <c r="H644" s="104">
        <f>H408</f>
        <v>2995.07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77995.070000000007</v>
      </c>
      <c r="H646" s="104">
        <f>L408</f>
        <v>77995.070000000007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358555.31</v>
      </c>
      <c r="H647" s="104">
        <f>L208+L226+L244</f>
        <v>358555.31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120085.22</v>
      </c>
      <c r="H648" s="104">
        <f>(J257+J338)-(J255+J336)</f>
        <v>120085.22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275499.5</v>
      </c>
      <c r="H649" s="104">
        <f>H598</f>
        <v>275499.5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83055.81</v>
      </c>
      <c r="H651" s="104">
        <f>J598</f>
        <v>83055.81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40457.86</v>
      </c>
      <c r="H652" s="104">
        <f>K263+K345</f>
        <v>40457.86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9994229.3200000022</v>
      </c>
      <c r="G660" s="19">
        <f>(L229+L309+L359)</f>
        <v>0</v>
      </c>
      <c r="H660" s="19">
        <f>(L247+L328+L360)</f>
        <v>3520128.08</v>
      </c>
      <c r="I660" s="19">
        <f>SUM(F660:H660)</f>
        <v>13514357.400000002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110195.15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110195.15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275499.5</v>
      </c>
      <c r="G662" s="19">
        <f>(L226+L306)-(J226+J306)</f>
        <v>0</v>
      </c>
      <c r="H662" s="19">
        <f>(L244+L325)-(J244+J325)</f>
        <v>83055.81</v>
      </c>
      <c r="I662" s="19">
        <f>SUM(F662:H662)</f>
        <v>358555.31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140237.56</v>
      </c>
      <c r="G663" s="199">
        <f>SUM(G575:G587)+SUM(I602:I604)+L612</f>
        <v>0</v>
      </c>
      <c r="H663" s="199">
        <f>SUM(H575:H587)+SUM(J602:J604)+L613</f>
        <v>3402676.79</v>
      </c>
      <c r="I663" s="19">
        <f>SUM(F663:H663)</f>
        <v>3542914.35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9468297.1100000031</v>
      </c>
      <c r="G664" s="19">
        <f>G660-SUM(G661:G663)</f>
        <v>0</v>
      </c>
      <c r="H664" s="19">
        <f>H660-SUM(H661:H663)</f>
        <v>34395.479999999981</v>
      </c>
      <c r="I664" s="19">
        <f>I660-SUM(I661:I663)</f>
        <v>9502692.5900000017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409.46</v>
      </c>
      <c r="G665" s="248" t="s">
        <v>912</v>
      </c>
      <c r="H665" s="248"/>
      <c r="I665" s="19">
        <f>SUM(F665:H665)</f>
        <v>409.46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23123.86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23207.87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-34395.480000000003</v>
      </c>
      <c r="I669" s="19">
        <f>SUM(F669:H669)</f>
        <v>-34395.480000000003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23123.86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23123.86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F30" sqref="F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Rye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3080376.87</v>
      </c>
      <c r="C9" s="229">
        <f>'DOE25'!G197+'DOE25'!G215+'DOE25'!G233+'DOE25'!G276+'DOE25'!G295+'DOE25'!G314</f>
        <v>1361889.6</v>
      </c>
    </row>
    <row r="10" spans="1:3" x14ac:dyDescent="0.2">
      <c r="A10" t="s">
        <v>773</v>
      </c>
      <c r="B10" s="240">
        <v>2921297.53</v>
      </c>
      <c r="C10" s="240">
        <v>1291557.78</v>
      </c>
    </row>
    <row r="11" spans="1:3" x14ac:dyDescent="0.2">
      <c r="A11" t="s">
        <v>774</v>
      </c>
      <c r="B11" s="240">
        <v>97907.65</v>
      </c>
      <c r="C11" s="240">
        <v>43286.720000000001</v>
      </c>
    </row>
    <row r="12" spans="1:3" x14ac:dyDescent="0.2">
      <c r="A12" t="s">
        <v>775</v>
      </c>
      <c r="B12" s="240">
        <v>61171.69</v>
      </c>
      <c r="C12" s="240">
        <v>27045.1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3080376.8699999996</v>
      </c>
      <c r="C13" s="231">
        <f>SUM(C10:C12)</f>
        <v>1361889.6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878202.83</v>
      </c>
      <c r="C18" s="229">
        <f>'DOE25'!G198+'DOE25'!G216+'DOE25'!G234+'DOE25'!G277+'DOE25'!G296+'DOE25'!G315</f>
        <v>395790.5</v>
      </c>
    </row>
    <row r="19" spans="1:3" x14ac:dyDescent="0.2">
      <c r="A19" t="s">
        <v>773</v>
      </c>
      <c r="B19" s="240">
        <v>614736.18999999994</v>
      </c>
      <c r="C19" s="240">
        <v>277050.74</v>
      </c>
    </row>
    <row r="20" spans="1:3" x14ac:dyDescent="0.2">
      <c r="A20" t="s">
        <v>774</v>
      </c>
      <c r="B20" s="240">
        <v>263466.64</v>
      </c>
      <c r="C20" s="240">
        <v>118739.76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878202.83</v>
      </c>
      <c r="C22" s="231">
        <f>SUM(C19:C21)</f>
        <v>395790.5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88965.25</v>
      </c>
      <c r="C36" s="235">
        <f>'DOE25'!G200+'DOE25'!G218+'DOE25'!G236+'DOE25'!G279+'DOE25'!G298+'DOE25'!G317</f>
        <v>6319.69</v>
      </c>
    </row>
    <row r="37" spans="1:3" x14ac:dyDescent="0.2">
      <c r="A37" t="s">
        <v>773</v>
      </c>
      <c r="B37" s="240">
        <v>18600</v>
      </c>
      <c r="C37" s="240">
        <v>1321.26</v>
      </c>
    </row>
    <row r="38" spans="1:3" x14ac:dyDescent="0.2">
      <c r="A38" t="s">
        <v>774</v>
      </c>
      <c r="B38" s="240">
        <v>70365.25</v>
      </c>
      <c r="C38" s="240">
        <v>4998.43</v>
      </c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88965.25</v>
      </c>
      <c r="C40" s="231">
        <f>SUM(C37:C39)</f>
        <v>6319.6900000000005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30" sqref="F30"/>
      <selection pane="bottomLeft" activeCell="F30" sqref="F3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Rye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9410417.0200000014</v>
      </c>
      <c r="D5" s="20">
        <f>SUM('DOE25'!L197:L200)+SUM('DOE25'!L215:L218)+SUM('DOE25'!L233:L236)-F5-G5</f>
        <v>9391678.4600000009</v>
      </c>
      <c r="E5" s="243"/>
      <c r="F5" s="255">
        <f>SUM('DOE25'!J197:J200)+SUM('DOE25'!J215:J218)+SUM('DOE25'!J233:J236)</f>
        <v>18378.560000000001</v>
      </c>
      <c r="G5" s="53">
        <f>SUM('DOE25'!K197:K200)+SUM('DOE25'!K215:K218)+SUM('DOE25'!K233:K236)</f>
        <v>360</v>
      </c>
      <c r="H5" s="259"/>
    </row>
    <row r="6" spans="1:9" x14ac:dyDescent="0.2">
      <c r="A6" s="32">
        <v>2100</v>
      </c>
      <c r="B6" t="s">
        <v>795</v>
      </c>
      <c r="C6" s="245">
        <f t="shared" si="0"/>
        <v>809643.83999999985</v>
      </c>
      <c r="D6" s="20">
        <f>'DOE25'!L202+'DOE25'!L220+'DOE25'!L238-F6-G6</f>
        <v>809162.83999999985</v>
      </c>
      <c r="E6" s="243"/>
      <c r="F6" s="255">
        <f>'DOE25'!J202+'DOE25'!J220+'DOE25'!J238</f>
        <v>481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604154.56000000006</v>
      </c>
      <c r="D7" s="20">
        <f>'DOE25'!L203+'DOE25'!L221+'DOE25'!L239-F7-G7</f>
        <v>547925.43000000005</v>
      </c>
      <c r="E7" s="243"/>
      <c r="F7" s="255">
        <f>'DOE25'!J203+'DOE25'!J221+'DOE25'!J239</f>
        <v>55390.13</v>
      </c>
      <c r="G7" s="53">
        <f>'DOE25'!K203+'DOE25'!K221+'DOE25'!K239</f>
        <v>839</v>
      </c>
      <c r="H7" s="259"/>
    </row>
    <row r="8" spans="1:9" x14ac:dyDescent="0.2">
      <c r="A8" s="32">
        <v>2300</v>
      </c>
      <c r="B8" t="s">
        <v>796</v>
      </c>
      <c r="C8" s="245">
        <f t="shared" si="0"/>
        <v>259519.60000000009</v>
      </c>
      <c r="D8" s="243"/>
      <c r="E8" s="20">
        <f>'DOE25'!L204+'DOE25'!L222+'DOE25'!L240-F8-G8-D9-D11</f>
        <v>252316.49000000011</v>
      </c>
      <c r="F8" s="255">
        <f>'DOE25'!J204+'DOE25'!J222+'DOE25'!J240</f>
        <v>0</v>
      </c>
      <c r="G8" s="53">
        <f>'DOE25'!K204+'DOE25'!K222+'DOE25'!K240</f>
        <v>7203.1100000000006</v>
      </c>
      <c r="H8" s="259"/>
    </row>
    <row r="9" spans="1:9" x14ac:dyDescent="0.2">
      <c r="A9" s="32">
        <v>2310</v>
      </c>
      <c r="B9" t="s">
        <v>812</v>
      </c>
      <c r="C9" s="245">
        <f t="shared" si="0"/>
        <v>53572.45</v>
      </c>
      <c r="D9" s="244">
        <v>53572.45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10100</v>
      </c>
      <c r="D10" s="243"/>
      <c r="E10" s="244">
        <v>10100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398665</v>
      </c>
      <c r="D11" s="244">
        <v>398665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525052.62</v>
      </c>
      <c r="D12" s="20">
        <f>'DOE25'!L205+'DOE25'!L223+'DOE25'!L241-F12-G12</f>
        <v>523499.64</v>
      </c>
      <c r="E12" s="243"/>
      <c r="F12" s="255">
        <f>'DOE25'!J205+'DOE25'!J223+'DOE25'!J241</f>
        <v>698</v>
      </c>
      <c r="G12" s="53">
        <f>'DOE25'!K205+'DOE25'!K223+'DOE25'!K241</f>
        <v>854.98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9233.4699999999993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9233.4699999999993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811483.04000000015</v>
      </c>
      <c r="D14" s="20">
        <f>'DOE25'!L207+'DOE25'!L225+'DOE25'!L243-F14-G14</f>
        <v>776596.65000000014</v>
      </c>
      <c r="E14" s="243"/>
      <c r="F14" s="255">
        <f>'DOE25'!J207+'DOE25'!J225+'DOE25'!J243</f>
        <v>34886.39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358555.31</v>
      </c>
      <c r="D15" s="20">
        <f>'DOE25'!L208+'DOE25'!L226+'DOE25'!L244-F15-G15</f>
        <v>358555.31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16662.390000000003</v>
      </c>
      <c r="D16" s="243"/>
      <c r="E16" s="20">
        <f>'DOE25'!L209+'DOE25'!L227+'DOE25'!L245-F16-G16</f>
        <v>16662.390000000003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136658.23999999999</v>
      </c>
      <c r="D22" s="243"/>
      <c r="E22" s="243"/>
      <c r="F22" s="255">
        <f>'DOE25'!L255+'DOE25'!L336</f>
        <v>136658.23999999999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125795.20000000001</v>
      </c>
      <c r="D29" s="20">
        <f>'DOE25'!L358+'DOE25'!L359+'DOE25'!L360-'DOE25'!I367-F29-G29</f>
        <v>124019.57</v>
      </c>
      <c r="E29" s="243"/>
      <c r="F29" s="255">
        <f>'DOE25'!J358+'DOE25'!J359+'DOE25'!J360</f>
        <v>1775.63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84995.34</v>
      </c>
      <c r="D31" s="20">
        <f>'DOE25'!L290+'DOE25'!L309+'DOE25'!L328+'DOE25'!L333+'DOE25'!L334+'DOE25'!L335-F31-G31</f>
        <v>72967.58</v>
      </c>
      <c r="E31" s="243"/>
      <c r="F31" s="255">
        <f>'DOE25'!J290+'DOE25'!J309+'DOE25'!J328+'DOE25'!J333+'DOE25'!J334+'DOE25'!J335</f>
        <v>10251.14</v>
      </c>
      <c r="G31" s="53">
        <f>'DOE25'!K290+'DOE25'!K309+'DOE25'!K328+'DOE25'!K333+'DOE25'!K334+'DOE25'!K335</f>
        <v>1776.62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13056642.930000002</v>
      </c>
      <c r="E33" s="246">
        <f>SUM(E5:E31)</f>
        <v>279078.88000000012</v>
      </c>
      <c r="F33" s="246">
        <f>SUM(F5:F31)</f>
        <v>258519.09000000003</v>
      </c>
      <c r="G33" s="246">
        <f>SUM(G5:G31)</f>
        <v>20267.179999999997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279078.88000000012</v>
      </c>
      <c r="E35" s="249"/>
    </row>
    <row r="36" spans="2:8" ht="12" thickTop="1" x14ac:dyDescent="0.2">
      <c r="B36" t="s">
        <v>809</v>
      </c>
      <c r="D36" s="20">
        <f>D33</f>
        <v>13056642.930000002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30" sqref="F30"/>
      <selection pane="bottomLeft" activeCell="F30" sqref="F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882330.47</v>
      </c>
      <c r="D8" s="95">
        <f>'DOE25'!G9</f>
        <v>0</v>
      </c>
      <c r="E8" s="95">
        <f>'DOE25'!H9</f>
        <v>43996.45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263710.11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1497.32</v>
      </c>
      <c r="D11" s="95">
        <f>'DOE25'!G12</f>
        <v>0</v>
      </c>
      <c r="E11" s="95">
        <f>'DOE25'!H12</f>
        <v>17292.82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1497.32</v>
      </c>
      <c r="E12" s="95">
        <f>'DOE25'!H13</f>
        <v>1908.68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970.04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368.05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884797.83</v>
      </c>
      <c r="D18" s="41">
        <f>SUM(D8:D17)</f>
        <v>1865.37</v>
      </c>
      <c r="E18" s="41">
        <f>SUM(E8:E17)</f>
        <v>63197.95</v>
      </c>
      <c r="F18" s="41">
        <f>SUM(F8:F17)</f>
        <v>0</v>
      </c>
      <c r="G18" s="41">
        <f>SUM(G8:G17)</f>
        <v>263710.11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17292.82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18790.14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109420.91</v>
      </c>
      <c r="D23" s="95">
        <f>'DOE25'!G24</f>
        <v>1497.32</v>
      </c>
      <c r="E23" s="95">
        <f>'DOE25'!H24</f>
        <v>1908.68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12600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140811.04999999999</v>
      </c>
      <c r="D31" s="41">
        <f>SUM(D21:D30)</f>
        <v>1497.32</v>
      </c>
      <c r="E31" s="41">
        <f>SUM(E21:E30)</f>
        <v>19201.5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368.05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332721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43996.45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263710.11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411265.78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743986.78</v>
      </c>
      <c r="D50" s="41">
        <f>SUM(D34:D49)</f>
        <v>368.05</v>
      </c>
      <c r="E50" s="41">
        <f>SUM(E34:E49)</f>
        <v>43996.45</v>
      </c>
      <c r="F50" s="41">
        <f>SUM(F34:F49)</f>
        <v>0</v>
      </c>
      <c r="G50" s="41">
        <f>SUM(G34:G49)</f>
        <v>263710.11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884797.83000000007</v>
      </c>
      <c r="D51" s="41">
        <f>D50+D31</f>
        <v>1865.37</v>
      </c>
      <c r="E51" s="41">
        <f>E50+E31</f>
        <v>63197.95</v>
      </c>
      <c r="F51" s="41">
        <f>F50+F31</f>
        <v>0</v>
      </c>
      <c r="G51" s="41">
        <f>G50+G31</f>
        <v>263710.11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8613820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79003.56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2995.07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110195.15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146590.78999999998</v>
      </c>
      <c r="D61" s="95">
        <f>SUM('DOE25'!G98:G110)</f>
        <v>0</v>
      </c>
      <c r="E61" s="95">
        <f>SUM('DOE25'!H98:H110)</f>
        <v>42896.65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225594.34999999998</v>
      </c>
      <c r="D62" s="130">
        <f>SUM(D57:D61)</f>
        <v>110195.15</v>
      </c>
      <c r="E62" s="130">
        <f>SUM(E57:E61)</f>
        <v>42896.65</v>
      </c>
      <c r="F62" s="130">
        <f>SUM(F57:F61)</f>
        <v>0</v>
      </c>
      <c r="G62" s="130">
        <f>SUM(G57:G61)</f>
        <v>2995.07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8839414.3499999996</v>
      </c>
      <c r="D63" s="22">
        <f>D56+D62</f>
        <v>110195.15</v>
      </c>
      <c r="E63" s="22">
        <f>E56+E62</f>
        <v>42896.65</v>
      </c>
      <c r="F63" s="22">
        <f>F56+F62</f>
        <v>0</v>
      </c>
      <c r="G63" s="22">
        <f>G56+G62</f>
        <v>2995.07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4695014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4695014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42228.7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2150.2199999999998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42228.7</v>
      </c>
      <c r="D78" s="130">
        <f>SUM(D72:D77)</f>
        <v>2150.2199999999998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4737242.7</v>
      </c>
      <c r="D81" s="130">
        <f>SUM(D79:D80)+D78+D70</f>
        <v>2150.2199999999998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20408.54</v>
      </c>
      <c r="D88" s="95">
        <f>SUM('DOE25'!G153:G161)</f>
        <v>19392.77</v>
      </c>
      <c r="E88" s="95">
        <f>SUM('DOE25'!H153:H161)</f>
        <v>13682.65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20408.54</v>
      </c>
      <c r="D91" s="131">
        <f>SUM(D85:D90)</f>
        <v>19392.77</v>
      </c>
      <c r="E91" s="131">
        <f>SUM(E85:E90)</f>
        <v>13682.65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40457.86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40457.86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13597065.59</v>
      </c>
      <c r="D104" s="86">
        <f>D63+D81+D91+D103</f>
        <v>172196</v>
      </c>
      <c r="E104" s="86">
        <f>E63+E81+E91+E103</f>
        <v>56579.3</v>
      </c>
      <c r="F104" s="86">
        <f>F63+F81+F91+F103</f>
        <v>0</v>
      </c>
      <c r="G104" s="86">
        <f>G63+G81+G103</f>
        <v>77995.070000000007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7662056.3400000017</v>
      </c>
      <c r="D109" s="24" t="s">
        <v>286</v>
      </c>
      <c r="E109" s="95">
        <f>('DOE25'!L276)+('DOE25'!L295)+('DOE25'!L314)</f>
        <v>67537.259999999995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1604119.5500000003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144241.13</v>
      </c>
      <c r="D112" s="24" t="s">
        <v>286</v>
      </c>
      <c r="E112" s="95">
        <f>+('DOE25'!L279)+('DOE25'!L298)+('DOE25'!L317)</f>
        <v>9650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9410417.0200000033</v>
      </c>
      <c r="D115" s="86">
        <f>SUM(D109:D114)</f>
        <v>0</v>
      </c>
      <c r="E115" s="86">
        <f>SUM(E109:E114)</f>
        <v>77187.259999999995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809643.83999999985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604154.56000000006</v>
      </c>
      <c r="D119" s="24" t="s">
        <v>286</v>
      </c>
      <c r="E119" s="95">
        <f>+('DOE25'!L282)+('DOE25'!L301)+('DOE25'!L320)</f>
        <v>7808.08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711757.05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525052.62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9233.4699999999993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811483.04000000015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358555.31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16662.390000000003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172402.76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3846542.2800000007</v>
      </c>
      <c r="D128" s="86">
        <f>SUM(D118:D127)</f>
        <v>172402.76</v>
      </c>
      <c r="E128" s="86">
        <f>SUM(E118:E127)</f>
        <v>7808.08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136658.23999999999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40457.86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77995.070000000007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-2995.070000000007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252116.09999999998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13509075.400000004</v>
      </c>
      <c r="D145" s="86">
        <f>(D115+D128+D144)</f>
        <v>172402.76</v>
      </c>
      <c r="E145" s="86">
        <f>(E115+E128+E144)</f>
        <v>84995.34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F30" sqref="F3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Rye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23124</v>
      </c>
    </row>
    <row r="5" spans="1:4" x14ac:dyDescent="0.2">
      <c r="B5" t="s">
        <v>698</v>
      </c>
      <c r="C5" s="179" t="e">
        <f>IF('DOE25'!G665+'DOE25'!G670=0,0,ROUND('DOE25'!G672,0))</f>
        <v>#VALUE!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23124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7729594</v>
      </c>
      <c r="D10" s="182">
        <f>ROUND((C10/$C$28)*100,1)</f>
        <v>57.7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1604120</v>
      </c>
      <c r="D11" s="182">
        <f>ROUND((C11/$C$28)*100,1)</f>
        <v>12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153891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809644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611963</v>
      </c>
      <c r="D16" s="182">
        <f t="shared" si="0"/>
        <v>4.5999999999999996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728419</v>
      </c>
      <c r="D17" s="182">
        <f t="shared" si="0"/>
        <v>5.4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525053</v>
      </c>
      <c r="D18" s="182">
        <f t="shared" si="0"/>
        <v>3.9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9233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811483</v>
      </c>
      <c r="D20" s="182">
        <f t="shared" si="0"/>
        <v>6.1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358555</v>
      </c>
      <c r="D21" s="182">
        <f t="shared" si="0"/>
        <v>2.7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62207.850000000006</v>
      </c>
      <c r="D27" s="182">
        <f t="shared" si="0"/>
        <v>0.5</v>
      </c>
    </row>
    <row r="28" spans="1:4" x14ac:dyDescent="0.2">
      <c r="B28" s="187" t="s">
        <v>717</v>
      </c>
      <c r="C28" s="180">
        <f>SUM(C10:C27)</f>
        <v>13404162.85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136658</v>
      </c>
    </row>
    <row r="30" spans="1:4" x14ac:dyDescent="0.2">
      <c r="B30" s="187" t="s">
        <v>723</v>
      </c>
      <c r="C30" s="180">
        <f>SUM(C28:C29)</f>
        <v>13540820.85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8613820</v>
      </c>
      <c r="D35" s="182">
        <f t="shared" ref="D35:D40" si="1">ROUND((C35/$C$41)*100,1)</f>
        <v>63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271486.0700000003</v>
      </c>
      <c r="D36" s="182">
        <f t="shared" si="1"/>
        <v>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4695014</v>
      </c>
      <c r="D37" s="182">
        <f t="shared" si="1"/>
        <v>34.299999999999997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44379</v>
      </c>
      <c r="D38" s="182">
        <f t="shared" si="1"/>
        <v>0.3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53484</v>
      </c>
      <c r="D39" s="182">
        <f t="shared" si="1"/>
        <v>0.4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13678183.07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30" sqref="F30"/>
      <selection pane="bottomLeft" activeCell="C30" sqref="C30:M3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Rye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2018-10-10T15:54:57Z</cp:lastPrinted>
  <dcterms:created xsi:type="dcterms:W3CDTF">1997-12-04T19:04:30Z</dcterms:created>
  <dcterms:modified xsi:type="dcterms:W3CDTF">2018-12-10T19:48:04Z</dcterms:modified>
</cp:coreProperties>
</file>