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900" yWindow="90" windowWidth="12735" windowHeight="642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465" i="1" l="1"/>
  <c r="D9" i="13"/>
  <c r="J591" i="1"/>
  <c r="I591" i="1"/>
  <c r="H591" i="1"/>
  <c r="J592" i="1"/>
  <c r="I592" i="1"/>
  <c r="H592" i="1"/>
  <c r="J595" i="1"/>
  <c r="F580" i="1"/>
  <c r="H582" i="1"/>
  <c r="G582" i="1"/>
  <c r="G580" i="1"/>
  <c r="J523" i="1"/>
  <c r="I523" i="1"/>
  <c r="H523" i="1"/>
  <c r="G523" i="1"/>
  <c r="F523" i="1"/>
  <c r="J522" i="1"/>
  <c r="I522" i="1"/>
  <c r="H522" i="1"/>
  <c r="G522" i="1"/>
  <c r="F522" i="1"/>
  <c r="J521" i="1"/>
  <c r="I521" i="1"/>
  <c r="H521" i="1"/>
  <c r="G521" i="1"/>
  <c r="F521" i="1"/>
  <c r="F497" i="1"/>
  <c r="F498" i="1"/>
  <c r="F465" i="1"/>
  <c r="I360" i="1"/>
  <c r="H368" i="1"/>
  <c r="I359" i="1"/>
  <c r="G368" i="1"/>
  <c r="I358" i="1"/>
  <c r="F368" i="1"/>
  <c r="J96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0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09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28" i="1"/>
  <c r="F337" i="1"/>
  <c r="G337" i="1"/>
  <c r="H337" i="1"/>
  <c r="I337" i="1"/>
  <c r="J337" i="1"/>
  <c r="K337" i="1"/>
  <c r="L337" i="1"/>
  <c r="L338" i="1"/>
  <c r="L341" i="1"/>
  <c r="L342" i="1"/>
  <c r="L344" i="1"/>
  <c r="L345" i="1"/>
  <c r="L346" i="1"/>
  <c r="L347" i="1"/>
  <c r="L349" i="1"/>
  <c r="L350" i="1"/>
  <c r="L351" i="1"/>
  <c r="L352" i="1"/>
  <c r="H472" i="1"/>
  <c r="H358" i="1"/>
  <c r="L358" i="1"/>
  <c r="H359" i="1"/>
  <c r="L359" i="1"/>
  <c r="H360" i="1"/>
  <c r="L360" i="1"/>
  <c r="L361" i="1"/>
  <c r="L362" i="1"/>
  <c r="G472" i="1"/>
  <c r="L197" i="1"/>
  <c r="L198" i="1"/>
  <c r="L199" i="1"/>
  <c r="L200" i="1"/>
  <c r="L202" i="1"/>
  <c r="L203" i="1"/>
  <c r="L204" i="1"/>
  <c r="L205" i="1"/>
  <c r="L206" i="1"/>
  <c r="L207" i="1"/>
  <c r="L208" i="1"/>
  <c r="L209" i="1"/>
  <c r="L211" i="1"/>
  <c r="L215" i="1"/>
  <c r="L216" i="1"/>
  <c r="L217" i="1"/>
  <c r="L218" i="1"/>
  <c r="L220" i="1"/>
  <c r="L221" i="1"/>
  <c r="L222" i="1"/>
  <c r="L223" i="1"/>
  <c r="L224" i="1"/>
  <c r="L225" i="1"/>
  <c r="L226" i="1"/>
  <c r="L227" i="1"/>
  <c r="L229" i="1"/>
  <c r="L233" i="1"/>
  <c r="L234" i="1"/>
  <c r="L235" i="1"/>
  <c r="L236" i="1"/>
  <c r="L238" i="1"/>
  <c r="L239" i="1"/>
  <c r="L240" i="1"/>
  <c r="L241" i="1"/>
  <c r="L242" i="1"/>
  <c r="L243" i="1"/>
  <c r="L244" i="1"/>
  <c r="L245" i="1"/>
  <c r="L247" i="1"/>
  <c r="F256" i="1"/>
  <c r="G256" i="1"/>
  <c r="H256" i="1"/>
  <c r="I256" i="1"/>
  <c r="J256" i="1"/>
  <c r="K256" i="1"/>
  <c r="L256" i="1"/>
  <c r="L257" i="1"/>
  <c r="F270" i="1"/>
  <c r="G270" i="1"/>
  <c r="H270" i="1"/>
  <c r="I270" i="1"/>
  <c r="J270" i="1"/>
  <c r="K270" i="1"/>
  <c r="L270" i="1"/>
  <c r="L271" i="1"/>
  <c r="F472" i="1"/>
  <c r="G60" i="1"/>
  <c r="G111" i="1"/>
  <c r="G112" i="1"/>
  <c r="G121" i="1"/>
  <c r="G136" i="1"/>
  <c r="G140" i="1"/>
  <c r="G147" i="1"/>
  <c r="G162" i="1"/>
  <c r="G169" i="1"/>
  <c r="G183" i="1"/>
  <c r="G188" i="1"/>
  <c r="G192" i="1"/>
  <c r="G193" i="1"/>
  <c r="G468" i="1"/>
  <c r="H60" i="1"/>
  <c r="H79" i="1"/>
  <c r="H94" i="1"/>
  <c r="H111" i="1"/>
  <c r="H112" i="1"/>
  <c r="H121" i="1"/>
  <c r="H136" i="1"/>
  <c r="H140" i="1"/>
  <c r="H147" i="1"/>
  <c r="H162" i="1"/>
  <c r="H169" i="1" s="1"/>
  <c r="H183" i="1"/>
  <c r="H188" i="1"/>
  <c r="H192" i="1"/>
  <c r="I60" i="1"/>
  <c r="I111" i="1"/>
  <c r="I112" i="1"/>
  <c r="I121" i="1"/>
  <c r="I136" i="1"/>
  <c r="I140" i="1"/>
  <c r="I147" i="1"/>
  <c r="I162" i="1"/>
  <c r="I169" i="1"/>
  <c r="I177" i="1"/>
  <c r="I183" i="1"/>
  <c r="I188" i="1"/>
  <c r="I192" i="1"/>
  <c r="I193" i="1"/>
  <c r="I468" i="1"/>
  <c r="F60" i="1"/>
  <c r="F79" i="1"/>
  <c r="F94" i="1"/>
  <c r="F111" i="1"/>
  <c r="F112" i="1"/>
  <c r="F121" i="1"/>
  <c r="F136" i="1"/>
  <c r="F140" i="1"/>
  <c r="F147" i="1"/>
  <c r="F162" i="1"/>
  <c r="F169" i="1"/>
  <c r="F177" i="1"/>
  <c r="F183" i="1"/>
  <c r="F188" i="1"/>
  <c r="F192" i="1"/>
  <c r="F193" i="1"/>
  <c r="F468" i="1"/>
  <c r="G446" i="1"/>
  <c r="G459" i="1"/>
  <c r="F446" i="1"/>
  <c r="F459" i="1"/>
  <c r="H43" i="1"/>
  <c r="G43" i="1"/>
  <c r="F49" i="1"/>
  <c r="F50" i="1"/>
  <c r="F14" i="1"/>
  <c r="F9" i="1"/>
  <c r="C45" i="2"/>
  <c r="G51" i="1"/>
  <c r="F51" i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D34" i="2"/>
  <c r="D35" i="2"/>
  <c r="D36" i="2"/>
  <c r="D38" i="2"/>
  <c r="D50" i="2"/>
  <c r="C42" i="2"/>
  <c r="F38" i="2"/>
  <c r="E38" i="2"/>
  <c r="C38" i="2"/>
  <c r="F36" i="2"/>
  <c r="E36" i="2"/>
  <c r="C36" i="2"/>
  <c r="I455" i="1"/>
  <c r="J45" i="1"/>
  <c r="G44" i="2"/>
  <c r="I458" i="1"/>
  <c r="J39" i="1"/>
  <c r="G38" i="2"/>
  <c r="C68" i="2"/>
  <c r="B2" i="13"/>
  <c r="F8" i="13"/>
  <c r="G8" i="13"/>
  <c r="D39" i="13"/>
  <c r="F13" i="13"/>
  <c r="G13" i="13"/>
  <c r="F16" i="13"/>
  <c r="G16" i="13"/>
  <c r="F5" i="13"/>
  <c r="G5" i="13"/>
  <c r="C111" i="2"/>
  <c r="F6" i="13"/>
  <c r="G6" i="13"/>
  <c r="F7" i="13"/>
  <c r="G7" i="13"/>
  <c r="F12" i="13"/>
  <c r="G12" i="13"/>
  <c r="F14" i="13"/>
  <c r="G14" i="13"/>
  <c r="F15" i="13"/>
  <c r="G15" i="13"/>
  <c r="G649" i="1"/>
  <c r="G651" i="1"/>
  <c r="F17" i="13"/>
  <c r="G17" i="13"/>
  <c r="L251" i="1"/>
  <c r="F18" i="13"/>
  <c r="G18" i="13"/>
  <c r="L252" i="1"/>
  <c r="F19" i="13"/>
  <c r="G19" i="13"/>
  <c r="L253" i="1"/>
  <c r="F29" i="13"/>
  <c r="G29" i="13"/>
  <c r="I367" i="1"/>
  <c r="J290" i="1"/>
  <c r="J309" i="1"/>
  <c r="J328" i="1"/>
  <c r="K290" i="1"/>
  <c r="K309" i="1"/>
  <c r="K328" i="1"/>
  <c r="E111" i="2"/>
  <c r="E120" i="2"/>
  <c r="E121" i="2"/>
  <c r="L333" i="1"/>
  <c r="L334" i="1"/>
  <c r="L335" i="1"/>
  <c r="L260" i="1"/>
  <c r="C131" i="2"/>
  <c r="L261" i="1"/>
  <c r="C132" i="2"/>
  <c r="L255" i="1"/>
  <c r="L336" i="1"/>
  <c r="C11" i="13"/>
  <c r="C10" i="13"/>
  <c r="C9" i="13"/>
  <c r="B4" i="12"/>
  <c r="B36" i="12"/>
  <c r="C36" i="12"/>
  <c r="B40" i="12"/>
  <c r="C40" i="12"/>
  <c r="B27" i="12"/>
  <c r="B31" i="12"/>
  <c r="C27" i="12"/>
  <c r="C31" i="12"/>
  <c r="A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1" i="1"/>
  <c r="C139" i="2"/>
  <c r="L403" i="1"/>
  <c r="L404" i="1"/>
  <c r="L405" i="1"/>
  <c r="L406" i="1"/>
  <c r="L266" i="1"/>
  <c r="J60" i="1"/>
  <c r="G56" i="2"/>
  <c r="G59" i="2"/>
  <c r="G61" i="2"/>
  <c r="F2" i="11"/>
  <c r="L613" i="1"/>
  <c r="H663" i="1"/>
  <c r="L612" i="1"/>
  <c r="G663" i="1"/>
  <c r="L611" i="1"/>
  <c r="F663" i="1"/>
  <c r="C40" i="10"/>
  <c r="C35" i="10"/>
  <c r="C57" i="2"/>
  <c r="J111" i="1"/>
  <c r="J112" i="1"/>
  <c r="J121" i="1"/>
  <c r="J136" i="1"/>
  <c r="L250" i="1"/>
  <c r="L332" i="1"/>
  <c r="L254" i="1"/>
  <c r="L268" i="1"/>
  <c r="L269" i="1"/>
  <c r="I665" i="1"/>
  <c r="I670" i="1"/>
  <c r="F662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K351" i="1"/>
  <c r="L521" i="1"/>
  <c r="F549" i="1"/>
  <c r="L522" i="1"/>
  <c r="F550" i="1"/>
  <c r="L523" i="1"/>
  <c r="F551" i="1"/>
  <c r="L526" i="1"/>
  <c r="G549" i="1"/>
  <c r="L527" i="1"/>
  <c r="G550" i="1"/>
  <c r="L528" i="1"/>
  <c r="G551" i="1"/>
  <c r="L531" i="1"/>
  <c r="H549" i="1"/>
  <c r="L532" i="1"/>
  <c r="H550" i="1"/>
  <c r="L533" i="1"/>
  <c r="H551" i="1"/>
  <c r="L536" i="1"/>
  <c r="I549" i="1"/>
  <c r="L537" i="1"/>
  <c r="I550" i="1"/>
  <c r="L538" i="1"/>
  <c r="I551" i="1"/>
  <c r="L541" i="1"/>
  <c r="J549" i="1"/>
  <c r="L542" i="1"/>
  <c r="J550" i="1"/>
  <c r="L543" i="1"/>
  <c r="J551" i="1"/>
  <c r="E132" i="2"/>
  <c r="E131" i="2"/>
  <c r="A1" i="2"/>
  <c r="A2" i="2"/>
  <c r="C8" i="2"/>
  <c r="D8" i="2"/>
  <c r="E8" i="2"/>
  <c r="F8" i="2"/>
  <c r="I439" i="1"/>
  <c r="J9" i="1"/>
  <c r="G8" i="2"/>
  <c r="C9" i="2"/>
  <c r="D9" i="2"/>
  <c r="E9" i="2"/>
  <c r="F9" i="2"/>
  <c r="I440" i="1"/>
  <c r="J10" i="1"/>
  <c r="G9" i="2"/>
  <c r="C10" i="2"/>
  <c r="C11" i="2"/>
  <c r="D11" i="2"/>
  <c r="E11" i="2"/>
  <c r="F11" i="2"/>
  <c r="I441" i="1"/>
  <c r="J12" i="1"/>
  <c r="G11" i="2"/>
  <c r="C12" i="2"/>
  <c r="D12" i="2"/>
  <c r="E12" i="2"/>
  <c r="F12" i="2"/>
  <c r="I442" i="1"/>
  <c r="J13" i="1"/>
  <c r="G12" i="2"/>
  <c r="C13" i="2"/>
  <c r="D13" i="2"/>
  <c r="E13" i="2"/>
  <c r="F13" i="2"/>
  <c r="I443" i="1"/>
  <c r="J14" i="1"/>
  <c r="G13" i="2"/>
  <c r="F14" i="2"/>
  <c r="C15" i="2"/>
  <c r="D15" i="2"/>
  <c r="E15" i="2"/>
  <c r="F15" i="2"/>
  <c r="C16" i="2"/>
  <c r="D16" i="2"/>
  <c r="E16" i="2"/>
  <c r="F16" i="2"/>
  <c r="I444" i="1"/>
  <c r="J17" i="1"/>
  <c r="C17" i="2"/>
  <c r="D17" i="2"/>
  <c r="E17" i="2"/>
  <c r="F17" i="2"/>
  <c r="I445" i="1"/>
  <c r="J18" i="1"/>
  <c r="G17" i="2"/>
  <c r="C21" i="2"/>
  <c r="D21" i="2"/>
  <c r="E21" i="2"/>
  <c r="F21" i="2"/>
  <c r="I448" i="1"/>
  <c r="J22" i="1"/>
  <c r="C22" i="2"/>
  <c r="D22" i="2"/>
  <c r="E22" i="2"/>
  <c r="F22" i="2"/>
  <c r="I449" i="1"/>
  <c r="J23" i="1"/>
  <c r="C23" i="2"/>
  <c r="D23" i="2"/>
  <c r="E23" i="2"/>
  <c r="F23" i="2"/>
  <c r="I450" i="1"/>
  <c r="J24" i="1"/>
  <c r="G23" i="2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/>
  <c r="C34" i="2"/>
  <c r="E34" i="2"/>
  <c r="F34" i="2"/>
  <c r="C35" i="2"/>
  <c r="E35" i="2"/>
  <c r="F35" i="2"/>
  <c r="I454" i="1"/>
  <c r="J49" i="1"/>
  <c r="G48" i="2"/>
  <c r="I456" i="1"/>
  <c r="J43" i="1"/>
  <c r="I457" i="1"/>
  <c r="J37" i="1"/>
  <c r="I459" i="1"/>
  <c r="J48" i="1"/>
  <c r="G47" i="2"/>
  <c r="C49" i="2"/>
  <c r="D56" i="2"/>
  <c r="E56" i="2"/>
  <c r="F56" i="2"/>
  <c r="E57" i="2"/>
  <c r="C58" i="2"/>
  <c r="E58" i="2"/>
  <c r="C59" i="2"/>
  <c r="D59" i="2"/>
  <c r="E59" i="2"/>
  <c r="F59" i="2"/>
  <c r="D60" i="2"/>
  <c r="D61" i="2"/>
  <c r="D62" i="2"/>
  <c r="D63" i="2"/>
  <c r="C61" i="2"/>
  <c r="E61" i="2"/>
  <c r="F61" i="2"/>
  <c r="C66" i="2"/>
  <c r="C67" i="2"/>
  <c r="C69" i="2"/>
  <c r="D69" i="2"/>
  <c r="D70" i="2"/>
  <c r="E69" i="2"/>
  <c r="E70" i="2"/>
  <c r="F69" i="2"/>
  <c r="F70" i="2"/>
  <c r="G69" i="2"/>
  <c r="G70" i="2"/>
  <c r="C72" i="2"/>
  <c r="F72" i="2"/>
  <c r="C73" i="2"/>
  <c r="F73" i="2"/>
  <c r="C74" i="2"/>
  <c r="C75" i="2"/>
  <c r="C76" i="2"/>
  <c r="E76" i="2"/>
  <c r="F76" i="2"/>
  <c r="C77" i="2"/>
  <c r="D77" i="2"/>
  <c r="D78" i="2"/>
  <c r="E77" i="2"/>
  <c r="F77" i="2"/>
  <c r="G77" i="2"/>
  <c r="G78" i="2"/>
  <c r="G81" i="2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89" i="2"/>
  <c r="C90" i="2"/>
  <c r="C91" i="2"/>
  <c r="D88" i="2"/>
  <c r="E88" i="2"/>
  <c r="F88" i="2"/>
  <c r="D89" i="2"/>
  <c r="E89" i="2"/>
  <c r="F89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3" i="2"/>
  <c r="E113" i="2"/>
  <c r="C114" i="2"/>
  <c r="E114" i="2"/>
  <c r="D115" i="2"/>
  <c r="F115" i="2"/>
  <c r="G115" i="2"/>
  <c r="C119" i="2"/>
  <c r="E119" i="2"/>
  <c r="E122" i="2"/>
  <c r="E123" i="2"/>
  <c r="E124" i="2"/>
  <c r="E125" i="2"/>
  <c r="F128" i="2"/>
  <c r="G128" i="2"/>
  <c r="C130" i="2"/>
  <c r="E130" i="2"/>
  <c r="F130" i="2"/>
  <c r="F144" i="2" s="1"/>
  <c r="F145" i="2" s="1"/>
  <c r="D134" i="2"/>
  <c r="D144" i="2"/>
  <c r="E134" i="2"/>
  <c r="F134" i="2"/>
  <c r="K419" i="1"/>
  <c r="K427" i="1"/>
  <c r="K433" i="1"/>
  <c r="L263" i="1"/>
  <c r="C135" i="2"/>
  <c r="E135" i="2"/>
  <c r="L264" i="1"/>
  <c r="C136" i="2"/>
  <c r="L265" i="1"/>
  <c r="C137" i="2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G156" i="2"/>
  <c r="B157" i="2"/>
  <c r="C157" i="2"/>
  <c r="D157" i="2"/>
  <c r="E157" i="2"/>
  <c r="F157" i="2"/>
  <c r="G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/>
  <c r="G500" i="1"/>
  <c r="C161" i="2"/>
  <c r="H500" i="1"/>
  <c r="D161" i="2"/>
  <c r="I500" i="1"/>
  <c r="E161" i="2"/>
  <c r="J500" i="1"/>
  <c r="F161" i="2"/>
  <c r="G161" i="2"/>
  <c r="B162" i="2"/>
  <c r="C162" i="2"/>
  <c r="D162" i="2"/>
  <c r="E162" i="2"/>
  <c r="F162" i="2"/>
  <c r="B163" i="2"/>
  <c r="C163" i="2"/>
  <c r="D163" i="2"/>
  <c r="E163" i="2"/>
  <c r="F163" i="2"/>
  <c r="F503" i="1"/>
  <c r="B164" i="2"/>
  <c r="G503" i="1"/>
  <c r="C164" i="2"/>
  <c r="H503" i="1"/>
  <c r="D164" i="2"/>
  <c r="I503" i="1"/>
  <c r="E164" i="2"/>
  <c r="J503" i="1"/>
  <c r="F164" i="2"/>
  <c r="F19" i="1"/>
  <c r="G617" i="1"/>
  <c r="G19" i="1"/>
  <c r="G618" i="1"/>
  <c r="H19" i="1"/>
  <c r="G619" i="1"/>
  <c r="I19" i="1"/>
  <c r="F32" i="1"/>
  <c r="F52" i="1"/>
  <c r="G32" i="1"/>
  <c r="G52" i="1"/>
  <c r="H618" i="1"/>
  <c r="H32" i="1"/>
  <c r="I32" i="1"/>
  <c r="H617" i="1"/>
  <c r="H51" i="1"/>
  <c r="G624" i="1"/>
  <c r="I51" i="1"/>
  <c r="I52" i="1"/>
  <c r="H620" i="1"/>
  <c r="J183" i="1"/>
  <c r="J192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62" i="1"/>
  <c r="G362" i="1"/>
  <c r="H362" i="1"/>
  <c r="I362" i="1"/>
  <c r="G634" i="1"/>
  <c r="J362" i="1"/>
  <c r="K362" i="1"/>
  <c r="I368" i="1"/>
  <c r="F369" i="1"/>
  <c r="G369" i="1"/>
  <c r="H369" i="1"/>
  <c r="I369" i="1"/>
  <c r="L381" i="1"/>
  <c r="L382" i="1"/>
  <c r="G636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G639" i="1"/>
  <c r="G640" i="1"/>
  <c r="H446" i="1"/>
  <c r="F452" i="1"/>
  <c r="G452" i="1"/>
  <c r="H452" i="1"/>
  <c r="I452" i="1"/>
  <c r="F460" i="1"/>
  <c r="G460" i="1"/>
  <c r="H460" i="1"/>
  <c r="F461" i="1"/>
  <c r="H639" i="1"/>
  <c r="G461" i="1"/>
  <c r="H640" i="1"/>
  <c r="H461" i="1"/>
  <c r="F470" i="1"/>
  <c r="G470" i="1"/>
  <c r="G474" i="1"/>
  <c r="G476" i="1"/>
  <c r="H623" i="1"/>
  <c r="G623" i="1"/>
  <c r="J623" i="1"/>
  <c r="I470" i="1"/>
  <c r="I474" i="1"/>
  <c r="I476" i="1"/>
  <c r="H625" i="1"/>
  <c r="G625" i="1"/>
  <c r="J625" i="1"/>
  <c r="F474" i="1"/>
  <c r="H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J529" i="1"/>
  <c r="J534" i="1"/>
  <c r="J539" i="1"/>
  <c r="J544" i="1"/>
  <c r="J545" i="1"/>
  <c r="K524" i="1"/>
  <c r="F529" i="1"/>
  <c r="G529" i="1"/>
  <c r="H529" i="1"/>
  <c r="I529" i="1"/>
  <c r="K529" i="1"/>
  <c r="L529" i="1"/>
  <c r="F534" i="1"/>
  <c r="G534" i="1"/>
  <c r="H534" i="1"/>
  <c r="I534" i="1"/>
  <c r="K534" i="1"/>
  <c r="F539" i="1"/>
  <c r="G539" i="1"/>
  <c r="H539" i="1"/>
  <c r="I539" i="1"/>
  <c r="K539" i="1"/>
  <c r="L539" i="1"/>
  <c r="F544" i="1"/>
  <c r="G544" i="1"/>
  <c r="H544" i="1"/>
  <c r="I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L565" i="1"/>
  <c r="F565" i="1"/>
  <c r="F570" i="1"/>
  <c r="F571" i="1"/>
  <c r="G565" i="1"/>
  <c r="H565" i="1"/>
  <c r="I565" i="1"/>
  <c r="J565" i="1"/>
  <c r="K565" i="1"/>
  <c r="L567" i="1"/>
  <c r="L568" i="1"/>
  <c r="L569" i="1"/>
  <c r="G570" i="1"/>
  <c r="H570" i="1"/>
  <c r="I570" i="1"/>
  <c r="I571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/>
  <c r="I598" i="1"/>
  <c r="H650" i="1"/>
  <c r="J598" i="1"/>
  <c r="H651" i="1"/>
  <c r="K602" i="1"/>
  <c r="K603" i="1"/>
  <c r="K604" i="1"/>
  <c r="K605" i="1"/>
  <c r="G648" i="1"/>
  <c r="H605" i="1"/>
  <c r="I605" i="1"/>
  <c r="J605" i="1"/>
  <c r="F614" i="1"/>
  <c r="G614" i="1"/>
  <c r="H614" i="1"/>
  <c r="I614" i="1"/>
  <c r="J614" i="1"/>
  <c r="K614" i="1"/>
  <c r="G620" i="1"/>
  <c r="G622" i="1"/>
  <c r="H627" i="1"/>
  <c r="H628" i="1"/>
  <c r="H630" i="1"/>
  <c r="H632" i="1"/>
  <c r="H633" i="1"/>
  <c r="H634" i="1"/>
  <c r="H635" i="1"/>
  <c r="H636" i="1"/>
  <c r="H638" i="1"/>
  <c r="G641" i="1"/>
  <c r="H641" i="1"/>
  <c r="G643" i="1"/>
  <c r="H643" i="1"/>
  <c r="G644" i="1"/>
  <c r="H644" i="1"/>
  <c r="J644" i="1"/>
  <c r="G645" i="1"/>
  <c r="H645" i="1"/>
  <c r="G650" i="1"/>
  <c r="G652" i="1"/>
  <c r="H652" i="1"/>
  <c r="G653" i="1"/>
  <c r="H653" i="1"/>
  <c r="G654" i="1"/>
  <c r="H654" i="1"/>
  <c r="H655" i="1"/>
  <c r="G164" i="2"/>
  <c r="C26" i="10"/>
  <c r="D18" i="13"/>
  <c r="C18" i="13"/>
  <c r="D7" i="13"/>
  <c r="C7" i="13"/>
  <c r="D18" i="2"/>
  <c r="D17" i="13"/>
  <c r="C17" i="13"/>
  <c r="F78" i="2"/>
  <c r="F81" i="2"/>
  <c r="D31" i="2"/>
  <c r="F18" i="2"/>
  <c r="E103" i="2"/>
  <c r="D91" i="2"/>
  <c r="E62" i="2"/>
  <c r="E63" i="2"/>
  <c r="E31" i="2"/>
  <c r="G62" i="2"/>
  <c r="D19" i="13"/>
  <c r="C19" i="13"/>
  <c r="E78" i="2"/>
  <c r="E81" i="2"/>
  <c r="L427" i="1"/>
  <c r="J641" i="1"/>
  <c r="J571" i="1"/>
  <c r="K571" i="1"/>
  <c r="L433" i="1"/>
  <c r="L419" i="1"/>
  <c r="D81" i="2"/>
  <c r="G552" i="1"/>
  <c r="J643" i="1"/>
  <c r="F476" i="1"/>
  <c r="H622" i="1"/>
  <c r="J622" i="1"/>
  <c r="J140" i="1"/>
  <c r="I552" i="1"/>
  <c r="G22" i="2"/>
  <c r="J552" i="1"/>
  <c r="C29" i="10"/>
  <c r="L393" i="1"/>
  <c r="F22" i="13"/>
  <c r="H571" i="1"/>
  <c r="L560" i="1"/>
  <c r="J655" i="1"/>
  <c r="J645" i="1"/>
  <c r="J636" i="1"/>
  <c r="G36" i="2"/>
  <c r="C22" i="13"/>
  <c r="C138" i="2"/>
  <c r="A40" i="12"/>
  <c r="A13" i="12"/>
  <c r="L614" i="1"/>
  <c r="K598" i="1"/>
  <c r="G647" i="1"/>
  <c r="J651" i="1"/>
  <c r="J649" i="1"/>
  <c r="L570" i="1"/>
  <c r="L571" i="1"/>
  <c r="K551" i="1"/>
  <c r="F552" i="1"/>
  <c r="K549" i="1"/>
  <c r="H545" i="1"/>
  <c r="K550" i="1"/>
  <c r="K545" i="1"/>
  <c r="I545" i="1"/>
  <c r="G545" i="1"/>
  <c r="H552" i="1"/>
  <c r="L534" i="1"/>
  <c r="L524" i="1"/>
  <c r="J634" i="1"/>
  <c r="I460" i="1"/>
  <c r="I461" i="1"/>
  <c r="H642" i="1"/>
  <c r="H661" i="1"/>
  <c r="D29" i="13"/>
  <c r="C29" i="13"/>
  <c r="G661" i="1"/>
  <c r="D127" i="2"/>
  <c r="D128" i="2"/>
  <c r="D145" i="2"/>
  <c r="F661" i="1"/>
  <c r="G635" i="1"/>
  <c r="J635" i="1"/>
  <c r="C20" i="10"/>
  <c r="K338" i="1"/>
  <c r="K352" i="1"/>
  <c r="E118" i="2"/>
  <c r="E128" i="2"/>
  <c r="E112" i="2"/>
  <c r="C13" i="10"/>
  <c r="J338" i="1"/>
  <c r="J352" i="1"/>
  <c r="H338" i="1"/>
  <c r="H352" i="1"/>
  <c r="G338" i="1"/>
  <c r="G352" i="1"/>
  <c r="F338" i="1"/>
  <c r="F352" i="1"/>
  <c r="E109" i="2"/>
  <c r="C25" i="10"/>
  <c r="H25" i="13"/>
  <c r="C25" i="13"/>
  <c r="H33" i="13"/>
  <c r="C125" i="2"/>
  <c r="H662" i="1"/>
  <c r="I662" i="1"/>
  <c r="C21" i="10"/>
  <c r="K257" i="1"/>
  <c r="K271" i="1"/>
  <c r="C16" i="10"/>
  <c r="D6" i="13"/>
  <c r="C6" i="13"/>
  <c r="C112" i="2"/>
  <c r="C12" i="10"/>
  <c r="C11" i="10"/>
  <c r="E16" i="13"/>
  <c r="C16" i="13"/>
  <c r="C17" i="10"/>
  <c r="C123" i="2"/>
  <c r="C18" i="10"/>
  <c r="C120" i="2"/>
  <c r="H257" i="1"/>
  <c r="H271" i="1"/>
  <c r="G257" i="1"/>
  <c r="G271" i="1"/>
  <c r="F257" i="1"/>
  <c r="F271" i="1"/>
  <c r="C110" i="2"/>
  <c r="J257" i="1"/>
  <c r="J271" i="1"/>
  <c r="I257" i="1"/>
  <c r="I271" i="1"/>
  <c r="D5" i="13"/>
  <c r="C5" i="13"/>
  <c r="C10" i="10"/>
  <c r="H647" i="1"/>
  <c r="D15" i="13"/>
  <c r="C15" i="13"/>
  <c r="C124" i="2"/>
  <c r="D14" i="13"/>
  <c r="C14" i="13"/>
  <c r="E13" i="13"/>
  <c r="C13" i="13"/>
  <c r="C122" i="2"/>
  <c r="C19" i="10"/>
  <c r="C121" i="2"/>
  <c r="D12" i="13"/>
  <c r="C12" i="13"/>
  <c r="E8" i="13"/>
  <c r="C8" i="13"/>
  <c r="C118" i="2"/>
  <c r="C15" i="10"/>
  <c r="C109" i="2"/>
  <c r="J640" i="1"/>
  <c r="J639" i="1"/>
  <c r="I446" i="1"/>
  <c r="G642" i="1"/>
  <c r="C70" i="2"/>
  <c r="C78" i="2"/>
  <c r="C81" i="2"/>
  <c r="C36" i="10"/>
  <c r="C62" i="2"/>
  <c r="C56" i="2"/>
  <c r="H52" i="1"/>
  <c r="H619" i="1"/>
  <c r="J619" i="1"/>
  <c r="J617" i="1"/>
  <c r="C18" i="2"/>
  <c r="F62" i="2"/>
  <c r="F63" i="2"/>
  <c r="C23" i="10"/>
  <c r="G163" i="2"/>
  <c r="G162" i="2"/>
  <c r="G160" i="2"/>
  <c r="G159" i="2"/>
  <c r="G158" i="2"/>
  <c r="G103" i="2"/>
  <c r="F103" i="2"/>
  <c r="C103" i="2"/>
  <c r="F91" i="2"/>
  <c r="E50" i="2"/>
  <c r="E51" i="2"/>
  <c r="C50" i="2"/>
  <c r="F31" i="2"/>
  <c r="C31" i="2"/>
  <c r="E18" i="2"/>
  <c r="E144" i="2"/>
  <c r="F50" i="2"/>
  <c r="F51" i="2"/>
  <c r="C24" i="10"/>
  <c r="G31" i="13"/>
  <c r="G33" i="13"/>
  <c r="I338" i="1"/>
  <c r="I352" i="1"/>
  <c r="J650" i="1"/>
  <c r="L407" i="1"/>
  <c r="C140" i="2"/>
  <c r="C141" i="2"/>
  <c r="C144" i="2"/>
  <c r="E91" i="2"/>
  <c r="E104" i="2" s="1"/>
  <c r="L408" i="1"/>
  <c r="G637" i="1"/>
  <c r="D51" i="2"/>
  <c r="J654" i="1"/>
  <c r="J653" i="1"/>
  <c r="G21" i="2"/>
  <c r="G31" i="2"/>
  <c r="J32" i="1"/>
  <c r="L434" i="1"/>
  <c r="G638" i="1"/>
  <c r="J638" i="1"/>
  <c r="J434" i="1"/>
  <c r="F434" i="1"/>
  <c r="K434" i="1"/>
  <c r="G134" i="2"/>
  <c r="G144" i="2"/>
  <c r="G145" i="2"/>
  <c r="F31" i="13"/>
  <c r="F33" i="13"/>
  <c r="J193" i="1"/>
  <c r="F104" i="2"/>
  <c r="G63" i="2"/>
  <c r="G104" i="2"/>
  <c r="J618" i="1"/>
  <c r="G42" i="2"/>
  <c r="J51" i="1"/>
  <c r="G16" i="2"/>
  <c r="J19" i="1"/>
  <c r="G621" i="1"/>
  <c r="G18" i="2"/>
  <c r="F545" i="1"/>
  <c r="H434" i="1"/>
  <c r="J620" i="1"/>
  <c r="D103" i="2"/>
  <c r="D104" i="2"/>
  <c r="G630" i="1"/>
  <c r="J630" i="1"/>
  <c r="A22" i="12"/>
  <c r="G50" i="2"/>
  <c r="G51" i="2"/>
  <c r="J652" i="1"/>
  <c r="G571" i="1"/>
  <c r="I434" i="1"/>
  <c r="G434" i="1"/>
  <c r="I663" i="1"/>
  <c r="C27" i="10"/>
  <c r="J647" i="1"/>
  <c r="K552" i="1"/>
  <c r="L545" i="1"/>
  <c r="G646" i="1"/>
  <c r="J468" i="1"/>
  <c r="J642" i="1"/>
  <c r="H646" i="1"/>
  <c r="I661" i="1"/>
  <c r="G660" i="1"/>
  <c r="G664" i="1"/>
  <c r="G672" i="1"/>
  <c r="C5" i="10" s="1"/>
  <c r="H660" i="1"/>
  <c r="H664" i="1"/>
  <c r="G633" i="1"/>
  <c r="J633" i="1"/>
  <c r="E115" i="2"/>
  <c r="E145" i="2"/>
  <c r="D31" i="13"/>
  <c r="C31" i="13"/>
  <c r="F660" i="1"/>
  <c r="C115" i="2"/>
  <c r="H648" i="1"/>
  <c r="J648" i="1"/>
  <c r="G667" i="1"/>
  <c r="C128" i="2"/>
  <c r="E33" i="13"/>
  <c r="D35" i="13"/>
  <c r="C28" i="10"/>
  <c r="D22" i="10"/>
  <c r="G632" i="1"/>
  <c r="J632" i="1"/>
  <c r="G627" i="1"/>
  <c r="J627" i="1"/>
  <c r="C63" i="2"/>
  <c r="C104" i="2"/>
  <c r="C51" i="2"/>
  <c r="G631" i="1"/>
  <c r="G628" i="1"/>
  <c r="J628" i="1"/>
  <c r="G626" i="1"/>
  <c r="J52" i="1"/>
  <c r="H621" i="1"/>
  <c r="J621" i="1"/>
  <c r="C38" i="10"/>
  <c r="J470" i="1"/>
  <c r="J476" i="1"/>
  <c r="H626" i="1"/>
  <c r="H631" i="1"/>
  <c r="J631" i="1"/>
  <c r="H637" i="1"/>
  <c r="J637" i="1"/>
  <c r="J626" i="1"/>
  <c r="J646" i="1"/>
  <c r="I660" i="1"/>
  <c r="I664" i="1"/>
  <c r="I672" i="1"/>
  <c r="C7" i="10" s="1"/>
  <c r="H667" i="1"/>
  <c r="H672" i="1"/>
  <c r="C6" i="10" s="1"/>
  <c r="F664" i="1"/>
  <c r="F667" i="1"/>
  <c r="D33" i="13"/>
  <c r="D36" i="13"/>
  <c r="C145" i="2"/>
  <c r="D17" i="10"/>
  <c r="D24" i="10"/>
  <c r="D27" i="10"/>
  <c r="D10" i="10"/>
  <c r="C30" i="10"/>
  <c r="D23" i="10"/>
  <c r="D18" i="10"/>
  <c r="D12" i="10"/>
  <c r="D26" i="10"/>
  <c r="D16" i="10"/>
  <c r="D20" i="10"/>
  <c r="D15" i="10"/>
  <c r="D25" i="10"/>
  <c r="D19" i="10"/>
  <c r="D13" i="10"/>
  <c r="D11" i="10"/>
  <c r="D21" i="10"/>
  <c r="F672" i="1"/>
  <c r="C4" i="10" s="1"/>
  <c r="I667" i="1"/>
  <c r="D28" i="10"/>
  <c r="H193" i="1" l="1"/>
  <c r="C39" i="10"/>
  <c r="C41" i="10" l="1"/>
  <c r="D39" i="10" s="1"/>
  <c r="H468" i="1"/>
  <c r="G629" i="1"/>
  <c r="H629" i="1" l="1"/>
  <c r="J629" i="1" s="1"/>
  <c r="H470" i="1"/>
  <c r="H476" i="1" s="1"/>
  <c r="H624" i="1" s="1"/>
  <c r="J624" i="1" s="1"/>
  <c r="D36" i="10"/>
  <c r="D40" i="10"/>
  <c r="D35" i="10"/>
  <c r="D38" i="10"/>
  <c r="D37" i="10"/>
  <c r="D41" i="10" l="1"/>
  <c r="H656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<sst xmlns="http://schemas.openxmlformats.org/spreadsheetml/2006/main" count="3964" uniqueCount="920">
  <si>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</si>
  <si>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</si>
  <si>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</si>
  <si>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</si>
  <si>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</si>
  <si>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</si>
  <si>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</si>
  <si>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</si>
  <si>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</si>
  <si>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</si>
  <si>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</si>
  <si>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</si>
  <si>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</si>
  <si>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</si>
  <si>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</si>
  <si>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</si>
  <si>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</si>
  <si>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</si>
  <si>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</si>
  <si>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</si>
  <si>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</si>
  <si>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</si>
  <si>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</si>
  <si>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</si>
  <si>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</si>
  <si>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</si>
  <si>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</si>
  <si>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</si>
  <si>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</si>
  <si>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</si>
  <si>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</si>
  <si>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</si>
  <si>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</si>
  <si>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</si>
  <si>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</si>
  <si>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</si>
  <si>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</si>
  <si>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</si>
  <si>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</si>
  <si>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</si>
  <si>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</si>
  <si>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</si>
  <si>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</si>
  <si>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</si>
  <si>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</si>
  <si>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</si>
  <si>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</si>
  <si>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</si>
  <si>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</si>
  <si>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</si>
  <si>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</si>
  <si>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</si>
  <si>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</si>
  <si>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</si>
  <si>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</si>
  <si>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</si>
  <si>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</si>
  <si>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</si>
  <si>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</si>
  <si>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</si>
  <si>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</si>
  <si>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</si>
  <si>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</si>
  <si>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</si>
  <si>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</si>
  <si>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</si>
  <si>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</si>
  <si>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</si>
  <si>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</si>
  <si>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</si>
  <si>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</si>
  <si>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</si>
  <si>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</si>
  <si>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</si>
  <si>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</si>
  <si>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</si>
  <si>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</si>
  <si>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</si>
  <si>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</si>
  <si>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</si>
  <si>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</si>
  <si>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</si>
  <si>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</si>
  <si>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</si>
  <si>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</si>
  <si>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</si>
  <si>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</si>
  <si>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</si>
  <si>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</si>
  <si>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</si>
  <si>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</si>
  <si>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</si>
  <si>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</si>
  <si>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</si>
  <si>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</si>
  <si>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</si>
  <si>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</si>
  <si>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</si>
  <si>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</si>
  <si>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</si>
  <si>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</si>
  <si>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</si>
  <si>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</si>
  <si>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</si>
  <si>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</si>
  <si>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</si>
  <si>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</si>
  <si>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</si>
  <si>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</si>
  <si>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</si>
  <si>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</si>
  <si>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</si>
  <si>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</si>
  <si>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</si>
  <si>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</si>
  <si>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</si>
  <si>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</si>
  <si>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</si>
  <si>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</si>
  <si>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</si>
  <si>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</si>
  <si>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</si>
  <si>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</si>
  <si>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</si>
  <si>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</si>
  <si>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</si>
  <si>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</si>
  <si>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</si>
  <si>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</si>
  <si>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</si>
  <si>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</si>
  <si>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</si>
  <si>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</si>
  <si>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</si>
  <si>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</si>
  <si>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</si>
  <si>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</si>
  <si>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</si>
  <si>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</si>
  <si>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</si>
  <si>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</si>
  <si>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</si>
  <si>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</si>
  <si>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</si>
  <si>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</si>
  <si>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</si>
  <si>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</si>
  <si>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</si>
  <si>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</si>
  <si>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</si>
  <si>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</si>
  <si>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</si>
  <si>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</si>
  <si>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</si>
  <si>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</si>
  <si>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</si>
  <si>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</si>
  <si>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</si>
  <si>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</si>
  <si>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</si>
  <si>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</si>
  <si>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</si>
  <si>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</si>
  <si>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</si>
  <si>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</si>
  <si>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</si>
  <si>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</si>
  <si>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</si>
  <si>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</si>
  <si>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</si>
  <si>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</si>
  <si>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</si>
  <si>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</si>
  <si>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</si>
  <si>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</si>
  <si>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</si>
  <si>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</si>
  <si>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</si>
  <si>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</si>
  <si>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</si>
  <si>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</si>
  <si>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</si>
  <si>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</si>
  <si>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</si>
  <si>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</si>
  <si>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</si>
  <si>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</si>
  <si>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</si>
  <si>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</si>
  <si>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</si>
  <si>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</si>
  <si>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</si>
  <si>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</si>
  <si>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</si>
  <si>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</si>
  <si>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</si>
  <si>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</si>
  <si>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</si>
  <si>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</si>
  <si>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</si>
  <si>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</si>
  <si>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</si>
  <si>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</si>
  <si>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</si>
  <si>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</si>
  <si>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</si>
  <si>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</si>
  <si>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</si>
  <si>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</si>
  <si>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</si>
  <si>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</si>
  <si>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</si>
  <si>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</si>
  <si>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</si>
  <si>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</si>
  <si>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</si>
  <si>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</si>
  <si>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</si>
  <si>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</si>
  <si>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</si>
  <si>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</si>
  <si>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</si>
  <si>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</si>
  <si>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</si>
  <si>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</si>
  <si>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</si>
  <si>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</si>
  <si>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</si>
  <si>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</si>
  <si>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</si>
  <si>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</si>
  <si>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</si>
  <si>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</si>
  <si>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</si>
  <si>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</si>
  <si>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</si>
  <si>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</si>
  <si>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</si>
  <si>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</si>
  <si>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</si>
  <si>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</si>
  <si>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</si>
  <si>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</si>
  <si>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</si>
  <si>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</si>
  <si>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</si>
  <si>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</si>
  <si>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</si>
  <si>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</si>
  <si>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</si>
  <si>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</si>
  <si>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</si>
  <si>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</si>
  <si>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</si>
  <si>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</si>
  <si>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</si>
  <si>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</si>
  <si>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</si>
  <si>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</si>
  <si>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</si>
  <si>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</si>
  <si>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</si>
  <si>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</si>
  <si>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</si>
  <si>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</si>
  <si>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</si>
  <si>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</si>
  <si>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</si>
  <si>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</si>
  <si>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</si>
  <si>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</si>
  <si>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</si>
  <si>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</si>
  <si>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</si>
  <si>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</si>
  <si>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</si>
  <si>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</si>
  <si>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</si>
  <si>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</si>
  <si>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</si>
  <si>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</si>
  <si>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</si>
  <si>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</si>
  <si>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</si>
  <si>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</si>
  <si>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</si>
  <si>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</si>
  <si>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</si>
  <si>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</si>
  <si>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</si>
  <si>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</si>
  <si>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</si>
  <si>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</si>
  <si>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</si>
  <si>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</si>
  <si>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</si>
  <si>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</si>
  <si>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</si>
  <si>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</si>
  <si>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</si>
  <si>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</si>
  <si>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</si>
  <si>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</si>
  <si>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</si>
  <si>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</si>
  <si>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</si>
  <si>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</si>
  <si>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</si>
  <si>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</si>
  <si>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</si>
  <si>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</si>
  <si>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</si>
  <si>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</si>
  <si>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</si>
  <si>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</si>
  <si>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</si>
  <si>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</si>
  <si>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</si>
  <si>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</si>
  <si>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</si>
  <si>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</si>
  <si>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</si>
  <si>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</si>
  <si>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</si>
  <si>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</si>
  <si>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</si>
  <si>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</si>
  <si>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</si>
  <si>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</si>
  <si>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</si>
  <si>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</si>
  <si>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</si>
  <si>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</si>
  <si>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</si>
  <si>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</si>
  <si>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</si>
  <si>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</si>
  <si>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</si>
  <si>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</si>
  <si>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</si>
  <si>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</si>
  <si>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</si>
  <si>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</si>
  <si>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</si>
  <si>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</si>
  <si>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</si>
  <si>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</si>
  <si>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</si>
  <si>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</si>
  <si>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</si>
  <si>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</si>
  <si>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</si>
  <si>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</si>
  <si>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</si>
  <si>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</si>
  <si>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</si>
  <si>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</si>
  <si>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</si>
  <si>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</si>
  <si>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</si>
  <si>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</si>
  <si>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</si>
  <si>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</si>
  <si>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</si>
  <si>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</si>
  <si>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</si>
  <si>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</si>
  <si>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</si>
  <si>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</si>
  <si>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</si>
  <si>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</si>
  <si>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</si>
  <si>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</si>
  <si>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</si>
  <si>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</si>
  <si>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</si>
  <si>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</si>
  <si>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</si>
  <si>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</si>
  <si>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</si>
  <si>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</si>
  <si>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</si>
  <si>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</si>
  <si>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</si>
  <si>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</si>
  <si>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</si>
  <si>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</si>
  <si>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</si>
  <si>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</si>
  <si>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</si>
  <si>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</si>
  <si>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</si>
  <si>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</si>
  <si>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</si>
  <si>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</si>
  <si>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</si>
  <si>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</si>
  <si>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</si>
  <si>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</si>
  <si>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</si>
  <si>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</si>
  <si>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</si>
  <si>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</si>
  <si>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</si>
  <si>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</si>
  <si>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</si>
  <si>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</si>
  <si>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</si>
  <si>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</si>
  <si>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</si>
  <si>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</si>
  <si>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</si>
  <si>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</si>
  <si>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</si>
  <si>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</si>
  <si>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</si>
  <si>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</si>
  <si>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</si>
  <si>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</si>
  <si>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</si>
  <si>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</si>
  <si>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</si>
  <si>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</si>
  <si>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</si>
  <si>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</si>
  <si>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</si>
  <si>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</si>
  <si>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</si>
  <si>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</si>
  <si>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</si>
  <si>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</si>
  <si>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</si>
  <si>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</si>
  <si>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</si>
  <si>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</si>
  <si>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</si>
  <si>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</si>
  <si>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</si>
  <si>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</si>
  <si>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</si>
  <si>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</si>
  <si>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</si>
  <si>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</si>
  <si>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</si>
  <si>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</si>
  <si>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</si>
  <si>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</si>
  <si>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</si>
  <si>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</si>
  <si>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</si>
  <si>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</si>
  <si>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</si>
  <si>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</si>
  <si>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</si>
  <si>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</si>
  <si>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</si>
  <si>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</si>
  <si>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</si>
  <si>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</si>
  <si>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</si>
  <si>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</si>
  <si>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</si>
  <si>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</si>
  <si>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</si>
  <si>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</si>
  <si>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</si>
  <si>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</si>
  <si>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</si>
  <si>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</si>
  <si>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</si>
  <si>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</si>
  <si>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</si>
  <si>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</si>
  <si>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</si>
  <si>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</si>
  <si>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</si>
  <si>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</si>
  <si>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</si>
  <si>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</si>
  <si>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</si>
  <si>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</si>
  <si>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</si>
  <si>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</si>
  <si>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</si>
  <si>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</si>
  <si>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</si>
  <si>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</si>
  <si>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</si>
  <si>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</si>
  <si>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</si>
  <si>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</si>
  <si>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</si>
  <si>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</si>
  <si>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</si>
  <si>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</si>
  <si>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</si>
  <si>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</si>
  <si>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</si>
  <si>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</si>
  <si>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</si>
  <si>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</si>
  <si>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</si>
  <si>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</si>
  <si>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</si>
  <si>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</si>
  <si>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</si>
  <si>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</si>
  <si>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</si>
  <si>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</si>
  <si>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</si>
  <si>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</si>
  <si>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</si>
  <si>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</si>
  <si>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</si>
  <si>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</si>
  <si>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</si>
  <si>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</si>
  <si>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</si>
  <si>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</si>
  <si>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</si>
  <si>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</si>
  <si>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</si>
  <si>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</si>
  <si>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</si>
  <si>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</si>
  <si>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</si>
  <si>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</si>
  <si>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</si>
  <si>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</si>
  <si>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</si>
  <si>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</si>
  <si>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</si>
  <si>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</si>
  <si>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</si>
  <si>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</si>
  <si>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</si>
  <si>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</si>
  <si>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</si>
  <si>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</si>
  <si>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</si>
  <si>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</si>
  <si>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</si>
  <si>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</si>
  <si>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</si>
  <si>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</si>
  <si>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</si>
  <si>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</si>
  <si>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</si>
  <si>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</si>
  <si>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</si>
  <si>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</si>
  <si>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</si>
  <si>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</si>
  <si>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</si>
  <si>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</si>
  <si>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</si>
  <si>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</si>
  <si>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</si>
  <si>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</si>
  <si>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</si>
  <si>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</si>
  <si>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</si>
  <si>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</si>
  <si>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</si>
  <si>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</si>
  <si>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</si>
  <si>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</si>
  <si>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</si>
  <si>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</si>
  <si>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</si>
  <si>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</si>
  <si>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</si>
  <si>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</si>
  <si>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</si>
  <si>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</si>
  <si>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</si>
  <si>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</si>
  <si>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</si>
  <si>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</si>
  <si>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</si>
  <si>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</si>
  <si>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</si>
  <si>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</si>
  <si>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</si>
  <si>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</si>
  <si>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</si>
  <si>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</si>
  <si>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</si>
  <si>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</si>
  <si>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</si>
  <si>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</si>
  <si>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</si>
  <si>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</si>
  <si>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</si>
  <si>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</si>
  <si>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</si>
  <si>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</si>
  <si>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</si>
  <si>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</si>
  <si>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</si>
  <si>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</si>
  <si>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</si>
  <si>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</si>
  <si>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</si>
  <si>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</si>
  <si>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</si>
  <si>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</si>
  <si>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</si>
  <si>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</si>
  <si>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</si>
  <si>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</si>
  <si>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</si>
  <si>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</si>
  <si>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</si>
  <si>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</si>
  <si>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</si>
  <si>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</si>
  <si>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</si>
  <si>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</si>
  <si>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</si>
  <si>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</si>
  <si>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</si>
  <si>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</si>
  <si>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</si>
  <si>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</si>
  <si>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</si>
  <si>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</si>
  <si>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</si>
  <si>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</si>
  <si>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</si>
  <si>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</si>
  <si>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</si>
  <si>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</si>
  <si>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</si>
  <si>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</si>
  <si>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</si>
  <si>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</si>
  <si>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</si>
  <si>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</si>
  <si>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</si>
  <si>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</si>
  <si>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</si>
  <si>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</si>
  <si>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</si>
  <si>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</si>
  <si>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</si>
  <si>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</si>
  <si>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</si>
  <si>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</si>
  <si>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</si>
  <si>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</si>
  <si>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</si>
  <si>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</si>
  <si>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</si>
  <si>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</si>
  <si>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</si>
  <si>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</si>
  <si>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</si>
  <si>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</si>
  <si>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</si>
  <si>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</si>
  <si>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</si>
  <si>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</si>
  <si>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</si>
  <si>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</si>
  <si>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</si>
  <si>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</si>
  <si>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</si>
  <si>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</si>
  <si>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</si>
  <si>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</si>
  <si>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</si>
  <si>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</si>
  <si>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</si>
  <si>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</si>
  <si>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</si>
  <si>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</si>
  <si>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</si>
  <si>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</si>
  <si>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</si>
  <si>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</si>
  <si>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</si>
  <si>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</si>
  <si>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</si>
  <si>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</si>
  <si>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</si>
  <si>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</si>
  <si>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</si>
  <si>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</si>
  <si>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</si>
  <si>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</si>
  <si>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</si>
  <si>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</si>
  <si>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</si>
  <si>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</si>
  <si>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</si>
  <si>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</si>
  <si>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</si>
  <si>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</si>
  <si>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</si>
  <si>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</si>
  <si>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</si>
  <si>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</si>
  <si>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</si>
  <si>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</si>
  <si>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</si>
  <si>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</si>
  <si>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</si>
  <si>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</si>
  <si>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</si>
  <si>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</si>
  <si>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</si>
  <si>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</si>
  <si>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</si>
  <si>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</si>
  <si>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</si>
  <si>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</si>
  <si>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</si>
  <si>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</si>
  <si>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</si>
  <si>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</si>
  <si>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</si>
  <si>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</si>
  <si>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</si>
  <si>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</si>
  <si>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</si>
  <si>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</si>
  <si>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</si>
  <si>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</si>
  <si>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</si>
  <si>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</si>
  <si>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</si>
  <si>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</si>
  <si>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</si>
  <si>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</si>
  <si>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</si>
  <si>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</si>
  <si>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</si>
  <si>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</si>
  <si>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</si>
  <si>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</si>
  <si>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</si>
  <si>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</si>
  <si>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</si>
  <si>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</si>
  <si>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</si>
  <si>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</si>
  <si>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</si>
  <si>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</si>
  <si>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</si>
  <si>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</si>
  <si>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</si>
  <si>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</si>
  <si>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</si>
  <si>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</si>
  <si>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</si>
  <si>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</si>
  <si>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</si>
  <si>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</si>
  <si>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</si>
  <si>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</si>
  <si>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</si>
  <si>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</si>
  <si>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</si>
  <si>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</si>
  <si>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</si>
  <si>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</si>
  <si>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</si>
  <si>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</si>
  <si>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</si>
  <si>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</si>
  <si>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</si>
  <si>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</si>
  <si>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</si>
  <si>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</si>
  <si>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</si>
  <si>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</si>
  <si>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</si>
  <si>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</si>
  <si>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</si>
  <si>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</si>
  <si>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</si>
  <si>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</si>
  <si>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</si>
  <si>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</si>
  <si>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</si>
  <si>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</si>
  <si>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</si>
  <si>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</si>
  <si>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</si>
  <si>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</si>
  <si>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</si>
  <si>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</si>
  <si>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</si>
  <si>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</si>
  <si>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</si>
  <si>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</si>
  <si>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</si>
  <si>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</si>
  <si>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</si>
  <si>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</si>
  <si>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</si>
  <si>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</si>
  <si>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</si>
  <si>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</si>
  <si>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</si>
  <si>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</si>
  <si>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</si>
  <si>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</si>
  <si>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</si>
  <si>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</si>
  <si>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</si>
  <si>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</si>
  <si>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</si>
  <si>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</si>
  <si>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</si>
  <si>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</si>
  <si>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</si>
  <si>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</si>
  <si>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</si>
  <si>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</si>
  <si>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</si>
  <si>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</si>
  <si>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</si>
  <si>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</si>
  <si>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</si>
  <si>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</si>
  <si>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</si>
  <si>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</si>
  <si>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</si>
  <si>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</si>
  <si>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</si>
  <si>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</si>
  <si>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</si>
  <si>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</si>
  <si>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</si>
  <si>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</si>
  <si>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</si>
  <si>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</si>
  <si>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</si>
  <si>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</si>
  <si>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</si>
  <si>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</si>
  <si>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</si>
  <si>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</si>
  <si>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</si>
  <si>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</si>
  <si>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</si>
  <si>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</si>
  <si>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</si>
  <si>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</si>
  <si>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</si>
  <si>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</si>
  <si>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</si>
  <si>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</si>
  <si>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</si>
  <si>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</si>
  <si>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</si>
  <si>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</si>
  <si>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</si>
  <si>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</si>
  <si>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</si>
  <si>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</si>
  <si>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</si>
  <si>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</si>
  <si>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</si>
  <si>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</si>
  <si>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</si>
  <si>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</si>
  <si>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</si>
  <si>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</si>
  <si>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</si>
  <si>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</si>
  <si>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</si>
  <si>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</si>
  <si>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</si>
  <si>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</si>
  <si>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</si>
  <si>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</si>
  <si>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</si>
  <si>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</si>
  <si>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</si>
  <si>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</si>
  <si>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</si>
  <si>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</si>
  <si>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</si>
  <si>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</si>
  <si>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</si>
  <si>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</si>
  <si>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</si>
  <si>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</si>
  <si>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</si>
  <si>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</si>
  <si>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</si>
  <si>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</si>
  <si>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</si>
  <si>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</si>
  <si>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</si>
  <si>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</si>
  <si>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</si>
  <si>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</si>
  <si>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</si>
  <si>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</si>
  <si>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</si>
  <si>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</si>
  <si>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</si>
  <si>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</si>
  <si>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</si>
  <si>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</si>
  <si>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</si>
  <si>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</si>
  <si>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</si>
  <si>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FY 17 DOE 25 was completed prior to all audit adjusting entries.  Last years FB on the DOE 25 was $1,549,624.82 less</t>
  </si>
  <si>
    <t xml:space="preserve"> adjustments of $32,720.78 equals the beginning FB for 7/1/2017 of $1,516,904.04.</t>
  </si>
  <si>
    <t>08/04</t>
  </si>
  <si>
    <t>08/24</t>
  </si>
  <si>
    <t>FY 17 DOE 25 was completed prior to all audit adjusting entries.  Last years FB on the DOE 25 was $301,270.89.</t>
  </si>
  <si>
    <t>The fund balance @ 7/1/17 was reduced by $4,800 to tie to audit.</t>
  </si>
  <si>
    <t>Sanborn Regional School District</t>
  </si>
  <si>
    <t>The fund balance was increased by $43,458.44 to account for a reclassification of deferred revenue to fund balance.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</si>
</sst>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_)"/>
    <numFmt numFmtId="165" formatCode="0_)"/>
    <numFmt numFmtId="166" formatCode="0.0%"/>
    <numFmt numFmtId="167" formatCode="0.0"/>
  </numFmts>
  <fonts count="43" x14ac:knownFonts="1">
    <font>
      <sz val="8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  <font>
      <sz val="10"/>
      <color indexed="8"/>
      <name val="MS Sans Serif"/>
      <family val="2"/>
    </font>
    <font>
      <sz val="10"/>
      <color indexed="8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29">
    <xf numFmtId="0" fontId="0" fillId="0" borderId="0"/>
    <xf numFmtId="0" fontId="41" fillId="0" borderId="0"/>
    <xf numFmtId="0" fontId="2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12" fillId="0" borderId="0"/>
    <xf numFmtId="0" fontId="2" fillId="0" borderId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12" fillId="0" borderId="0"/>
    <xf numFmtId="0" fontId="41" fillId="0" borderId="0"/>
    <xf numFmtId="0" fontId="2" fillId="0" borderId="0"/>
    <xf numFmtId="0" fontId="12" fillId="0" borderId="0"/>
    <xf numFmtId="0" fontId="41" fillId="0" borderId="0"/>
    <xf numFmtId="0" fontId="2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12" fillId="0" borderId="0"/>
    <xf numFmtId="0" fontId="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</cellStyleXfs>
  <cellXfs count="303">
    <xf numFmtId="0" fontId="0" fillId="0" borderId="0" xfId="0"/>
    <xf numFmtId="164" fontId="3" fillId="0" borderId="0" xfId="0" applyNumberFormat="1" applyFont="1" applyAlignment="1" applyProtection="1">
      <alignment horizontal="left"/>
    </xf>
    <xf numFmtId="165" fontId="3" fillId="0" borderId="0" xfId="0" applyNumberFormat="1" applyFont="1" applyAlignment="1" applyProtection="1">
      <alignment horizontal="left"/>
    </xf>
    <xf numFmtId="0" fontId="3" fillId="0" borderId="0" xfId="0" applyFont="1"/>
    <xf numFmtId="0" fontId="3" fillId="0" borderId="0" xfId="0" applyFont="1" applyProtection="1">
      <protection locked="0"/>
    </xf>
    <xf numFmtId="164" fontId="3" fillId="0" borderId="0" xfId="0" applyNumberFormat="1" applyFont="1" applyAlignment="1" applyProtection="1">
      <alignment horizontal="center"/>
    </xf>
    <xf numFmtId="165" fontId="3" fillId="0" borderId="0" xfId="0" applyNumberFormat="1" applyFont="1" applyAlignment="1" applyProtection="1">
      <alignment horizontal="center"/>
    </xf>
    <xf numFmtId="165" fontId="3" fillId="0" borderId="0" xfId="0" applyNumberFormat="1" applyFont="1" applyProtection="1"/>
    <xf numFmtId="165" fontId="4" fillId="0" borderId="0" xfId="0" applyNumberFormat="1" applyFont="1" applyProtection="1">
      <protection locked="0"/>
    </xf>
    <xf numFmtId="164" fontId="4" fillId="0" borderId="0" xfId="0" applyNumberFormat="1" applyFont="1" applyProtection="1">
      <protection locked="0"/>
    </xf>
    <xf numFmtId="4" fontId="4" fillId="0" borderId="0" xfId="0" applyNumberFormat="1" applyFont="1" applyProtection="1">
      <protection locked="0"/>
    </xf>
    <xf numFmtId="0" fontId="3" fillId="0" borderId="1" xfId="0" applyFont="1" applyBorder="1"/>
    <xf numFmtId="0" fontId="0" fillId="0" borderId="2" xfId="0" applyBorder="1"/>
    <xf numFmtId="40" fontId="3" fillId="0" borderId="0" xfId="0" applyNumberFormat="1" applyFont="1"/>
    <xf numFmtId="40" fontId="3" fillId="0" borderId="0" xfId="0" applyNumberFormat="1" applyFont="1" applyAlignment="1" applyProtection="1">
      <alignment horizontal="left"/>
    </xf>
    <xf numFmtId="40" fontId="3" fillId="0" borderId="0" xfId="0" quotePrefix="1" applyNumberFormat="1" applyFont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40" fontId="4" fillId="0" borderId="0" xfId="0" applyNumberFormat="1" applyFont="1" applyAlignment="1" applyProtection="1">
      <alignment horizontal="left"/>
      <protection locked="0"/>
    </xf>
    <xf numFmtId="40" fontId="4" fillId="0" borderId="0" xfId="0" applyNumberFormat="1" applyFont="1" applyProtection="1">
      <protection locked="0"/>
    </xf>
    <xf numFmtId="40" fontId="3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5" fillId="0" borderId="0" xfId="0" applyNumberFormat="1" applyFont="1" applyProtection="1"/>
    <xf numFmtId="0" fontId="3" fillId="0" borderId="0" xfId="0" applyFont="1" applyAlignment="1">
      <alignment horizontal="center"/>
    </xf>
    <xf numFmtId="40" fontId="3" fillId="2" borderId="0" xfId="0" applyNumberFormat="1" applyFont="1" applyFill="1" applyAlignment="1" applyProtection="1">
      <alignment horizontal="left"/>
    </xf>
    <xf numFmtId="40" fontId="7" fillId="0" borderId="0" xfId="0" applyNumberFormat="1" applyFont="1" applyAlignment="1" applyProtection="1">
      <alignment horizontal="center"/>
    </xf>
    <xf numFmtId="40" fontId="7" fillId="0" borderId="0" xfId="0" applyNumberFormat="1" applyFont="1" applyAlignment="1" applyProtection="1">
      <alignment horizontal="left"/>
    </xf>
    <xf numFmtId="0" fontId="8" fillId="0" borderId="0" xfId="0" applyFont="1"/>
    <xf numFmtId="0" fontId="9" fillId="0" borderId="0" xfId="0" applyFont="1"/>
    <xf numFmtId="164" fontId="7" fillId="0" borderId="0" xfId="0" applyNumberFormat="1" applyFont="1" applyAlignment="1" applyProtection="1">
      <alignment horizontal="left"/>
    </xf>
    <xf numFmtId="164" fontId="8" fillId="0" borderId="0" xfId="0" applyNumberFormat="1" applyFont="1" applyAlignment="1" applyProtection="1">
      <alignment horizontal="left"/>
    </xf>
    <xf numFmtId="165" fontId="10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11" fillId="0" borderId="0" xfId="0" applyFont="1"/>
    <xf numFmtId="0" fontId="7" fillId="0" borderId="0" xfId="0" applyFont="1"/>
    <xf numFmtId="165" fontId="13" fillId="0" borderId="0" xfId="0" applyNumberFormat="1" applyFont="1" applyProtection="1">
      <protection locked="0"/>
    </xf>
    <xf numFmtId="165" fontId="3" fillId="0" borderId="0" xfId="0" applyNumberFormat="1" applyFont="1" applyBorder="1" applyAlignment="1" applyProtection="1">
      <alignment horizontal="left"/>
    </xf>
    <xf numFmtId="165" fontId="3" fillId="0" borderId="0" xfId="0" applyNumberFormat="1" applyFont="1" applyBorder="1" applyAlignment="1" applyProtection="1">
      <alignment horizontal="center"/>
    </xf>
    <xf numFmtId="164" fontId="7" fillId="0" borderId="3" xfId="0" applyNumberFormat="1" applyFont="1" applyBorder="1" applyAlignment="1" applyProtection="1">
      <alignment horizontal="left"/>
    </xf>
    <xf numFmtId="165" fontId="3" fillId="0" borderId="3" xfId="0" applyNumberFormat="1" applyFont="1" applyBorder="1" applyAlignment="1" applyProtection="1">
      <alignment horizontal="left"/>
    </xf>
    <xf numFmtId="165" fontId="3" fillId="0" borderId="3" xfId="0" applyNumberFormat="1" applyFont="1" applyBorder="1" applyAlignment="1" applyProtection="1">
      <alignment horizontal="center"/>
    </xf>
    <xf numFmtId="40" fontId="3" fillId="0" borderId="3" xfId="0" applyNumberFormat="1" applyFont="1" applyBorder="1" applyProtection="1"/>
    <xf numFmtId="40" fontId="0" fillId="0" borderId="3" xfId="0" applyNumberFormat="1" applyBorder="1"/>
    <xf numFmtId="0" fontId="11" fillId="0" borderId="3" xfId="0" applyFont="1" applyBorder="1"/>
    <xf numFmtId="0" fontId="3" fillId="0" borderId="3" xfId="0" applyFont="1" applyBorder="1" applyAlignment="1">
      <alignment horizontal="center"/>
    </xf>
    <xf numFmtId="40" fontId="3" fillId="2" borderId="3" xfId="0" applyNumberFormat="1" applyFont="1" applyFill="1" applyBorder="1" applyAlignment="1" applyProtection="1">
      <alignment horizontal="left"/>
    </xf>
    <xf numFmtId="0" fontId="7" fillId="0" borderId="3" xfId="0" applyFont="1" applyBorder="1"/>
    <xf numFmtId="40" fontId="3" fillId="0" borderId="3" xfId="0" applyNumberFormat="1" applyFont="1" applyBorder="1"/>
    <xf numFmtId="165" fontId="3" fillId="0" borderId="4" xfId="0" applyNumberFormat="1" applyFont="1" applyBorder="1" applyAlignment="1" applyProtection="1">
      <alignment horizontal="left"/>
    </xf>
    <xf numFmtId="40" fontId="3" fillId="2" borderId="4" xfId="0" applyNumberFormat="1" applyFont="1" applyFill="1" applyBorder="1" applyAlignment="1" applyProtection="1">
      <alignment horizontal="left"/>
    </xf>
    <xf numFmtId="164" fontId="7" fillId="0" borderId="4" xfId="0" applyNumberFormat="1" applyFont="1" applyBorder="1" applyAlignment="1" applyProtection="1">
      <alignment horizontal="left"/>
    </xf>
    <xf numFmtId="165" fontId="3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11" fillId="0" borderId="0" xfId="0" applyFont="1" applyBorder="1"/>
    <xf numFmtId="0" fontId="7" fillId="0" borderId="0" xfId="0" applyFont="1" applyBorder="1"/>
    <xf numFmtId="40" fontId="3" fillId="0" borderId="0" xfId="0" applyNumberFormat="1" applyFont="1" applyBorder="1"/>
    <xf numFmtId="49" fontId="3" fillId="0" borderId="0" xfId="0" applyNumberFormat="1" applyFont="1" applyBorder="1" applyAlignment="1">
      <alignment horizontal="center"/>
    </xf>
    <xf numFmtId="0" fontId="3" fillId="0" borderId="0" xfId="0" applyFont="1" applyBorder="1"/>
    <xf numFmtId="0" fontId="3" fillId="0" borderId="5" xfId="0" applyFont="1" applyBorder="1"/>
    <xf numFmtId="49" fontId="3" fillId="0" borderId="5" xfId="0" applyNumberFormat="1" applyFont="1" applyBorder="1" applyAlignment="1">
      <alignment horizontal="center"/>
    </xf>
    <xf numFmtId="0" fontId="3" fillId="0" borderId="6" xfId="0" applyFont="1" applyBorder="1"/>
    <xf numFmtId="165" fontId="3" fillId="0" borderId="6" xfId="0" applyNumberFormat="1" applyFont="1" applyBorder="1" applyAlignment="1" applyProtection="1">
      <alignment horizontal="left"/>
    </xf>
    <xf numFmtId="40" fontId="4" fillId="0" borderId="6" xfId="0" applyNumberFormat="1" applyFont="1" applyBorder="1" applyProtection="1">
      <protection locked="0"/>
    </xf>
    <xf numFmtId="40" fontId="4" fillId="0" borderId="0" xfId="0" applyNumberFormat="1" applyFont="1" applyBorder="1" applyProtection="1">
      <protection locked="0"/>
    </xf>
    <xf numFmtId="40" fontId="5" fillId="0" borderId="3" xfId="0" applyNumberFormat="1" applyFont="1" applyBorder="1" applyProtection="1">
      <protection locked="0"/>
    </xf>
    <xf numFmtId="40" fontId="5" fillId="0" borderId="0" xfId="0" applyNumberFormat="1" applyFont="1" applyBorder="1" applyProtection="1">
      <protection locked="0"/>
    </xf>
    <xf numFmtId="40" fontId="3" fillId="0" borderId="0" xfId="0" applyNumberFormat="1" applyFont="1" applyBorder="1" applyProtection="1"/>
    <xf numFmtId="165" fontId="4" fillId="0" borderId="0" xfId="0" applyNumberFormat="1" applyFont="1" applyBorder="1" applyProtection="1">
      <protection locked="0"/>
    </xf>
    <xf numFmtId="164" fontId="3" fillId="0" borderId="0" xfId="0" applyNumberFormat="1" applyFont="1" applyBorder="1" applyAlignment="1" applyProtection="1">
      <alignment horizontal="left"/>
    </xf>
    <xf numFmtId="164" fontId="7" fillId="0" borderId="0" xfId="0" applyNumberFormat="1" applyFont="1" applyBorder="1" applyAlignment="1" applyProtection="1">
      <alignment horizontal="left"/>
    </xf>
    <xf numFmtId="165" fontId="3" fillId="0" borderId="6" xfId="0" applyNumberFormat="1" applyFont="1" applyBorder="1" applyAlignment="1" applyProtection="1">
      <alignment horizontal="center"/>
    </xf>
    <xf numFmtId="40" fontId="3" fillId="0" borderId="6" xfId="0" applyNumberFormat="1" applyFont="1" applyBorder="1"/>
    <xf numFmtId="0" fontId="3" fillId="0" borderId="6" xfId="0" applyFont="1" applyBorder="1" applyAlignment="1">
      <alignment horizontal="center"/>
    </xf>
    <xf numFmtId="164" fontId="7" fillId="0" borderId="6" xfId="0" applyNumberFormat="1" applyFont="1" applyBorder="1" applyAlignment="1" applyProtection="1">
      <alignment horizontal="left"/>
    </xf>
    <xf numFmtId="0" fontId="3" fillId="0" borderId="0" xfId="0" applyFont="1" applyBorder="1" applyAlignment="1">
      <alignment horizontal="center"/>
    </xf>
    <xf numFmtId="165" fontId="7" fillId="0" borderId="0" xfId="0" applyNumberFormat="1" applyFont="1" applyAlignment="1" applyProtection="1">
      <alignment horizontal="left"/>
    </xf>
    <xf numFmtId="40" fontId="3" fillId="0" borderId="0" xfId="0" applyNumberFormat="1" applyFont="1" applyBorder="1" applyAlignment="1">
      <alignment horizontal="center"/>
    </xf>
    <xf numFmtId="49" fontId="7" fillId="0" borderId="0" xfId="0" applyNumberFormat="1" applyFont="1" applyAlignment="1" applyProtection="1">
      <alignment horizontal="left"/>
    </xf>
    <xf numFmtId="49" fontId="3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3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5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5" fillId="0" borderId="0" xfId="0" applyNumberFormat="1" applyFont="1" applyBorder="1" applyAlignment="1" applyProtection="1">
      <alignment horizontal="right"/>
    </xf>
    <xf numFmtId="40" fontId="5" fillId="0" borderId="0" xfId="0" applyNumberFormat="1" applyFont="1" applyAlignment="1" applyProtection="1">
      <alignment horizontal="right"/>
    </xf>
    <xf numFmtId="40" fontId="5" fillId="0" borderId="3" xfId="0" applyNumberFormat="1" applyFont="1" applyBorder="1" applyAlignment="1" applyProtection="1">
      <alignment horizontal="right"/>
    </xf>
    <xf numFmtId="0" fontId="7" fillId="0" borderId="0" xfId="0" applyFont="1" applyBorder="1" applyProtection="1"/>
    <xf numFmtId="0" fontId="11" fillId="0" borderId="3" xfId="0" applyFont="1" applyBorder="1" applyProtection="1"/>
    <xf numFmtId="0" fontId="11" fillId="0" borderId="0" xfId="0" applyFont="1" applyBorder="1" applyProtection="1"/>
    <xf numFmtId="0" fontId="12" fillId="0" borderId="0" xfId="0" applyFont="1" applyBorder="1" applyProtection="1"/>
    <xf numFmtId="0" fontId="14" fillId="0" borderId="0" xfId="0" applyFont="1" applyBorder="1" applyProtection="1"/>
    <xf numFmtId="40" fontId="4" fillId="0" borderId="0" xfId="0" applyNumberFormat="1" applyFont="1" applyProtection="1"/>
    <xf numFmtId="40" fontId="15" fillId="0" borderId="0" xfId="0" applyNumberFormat="1" applyFont="1" applyProtection="1"/>
    <xf numFmtId="40" fontId="15" fillId="0" borderId="0" xfId="0" applyNumberFormat="1" applyFont="1" applyBorder="1" applyProtection="1"/>
    <xf numFmtId="40" fontId="15" fillId="0" borderId="3" xfId="0" applyNumberFormat="1" applyFont="1" applyBorder="1" applyProtection="1"/>
    <xf numFmtId="40" fontId="5" fillId="0" borderId="0" xfId="0" applyNumberFormat="1" applyFont="1" applyBorder="1" applyProtection="1"/>
    <xf numFmtId="40" fontId="15" fillId="0" borderId="0" xfId="0" applyNumberFormat="1" applyFont="1" applyBorder="1" applyAlignment="1" applyProtection="1">
      <alignment horizontal="center"/>
    </xf>
    <xf numFmtId="40" fontId="5" fillId="0" borderId="0" xfId="0" applyNumberFormat="1" applyFont="1" applyBorder="1" applyAlignment="1" applyProtection="1">
      <alignment horizontal="center"/>
    </xf>
    <xf numFmtId="0" fontId="5" fillId="0" borderId="0" xfId="0" applyNumberFormat="1" applyFont="1" applyAlignment="1" applyProtection="1">
      <alignment horizontal="center" vertical="justify"/>
    </xf>
    <xf numFmtId="40" fontId="5" fillId="0" borderId="0" xfId="0" applyNumberFormat="1" applyFont="1" applyAlignment="1" applyProtection="1">
      <alignment horizontal="center" vertical="justify"/>
    </xf>
    <xf numFmtId="40" fontId="5" fillId="0" borderId="0" xfId="0" applyNumberFormat="1" applyFont="1" applyAlignment="1" applyProtection="1">
      <alignment horizontal="right" vertical="justify"/>
    </xf>
    <xf numFmtId="0" fontId="3" fillId="0" borderId="0" xfId="0" applyFont="1" applyBorder="1" applyAlignment="1" applyProtection="1">
      <alignment horizontal="center"/>
    </xf>
    <xf numFmtId="40" fontId="5" fillId="0" borderId="0" xfId="0" applyNumberFormat="1" applyFont="1" applyAlignment="1" applyProtection="1">
      <alignment horizontal="center"/>
    </xf>
    <xf numFmtId="0" fontId="3" fillId="0" borderId="3" xfId="0" applyFont="1" applyBorder="1" applyAlignment="1" applyProtection="1">
      <alignment horizontal="center"/>
    </xf>
    <xf numFmtId="40" fontId="5" fillId="0" borderId="3" xfId="0" applyNumberFormat="1" applyFont="1" applyBorder="1" applyAlignment="1" applyProtection="1">
      <alignment horizontal="right" vertical="justify"/>
    </xf>
    <xf numFmtId="40" fontId="5" fillId="0" borderId="0" xfId="0" applyNumberFormat="1" applyFont="1" applyBorder="1" applyAlignment="1" applyProtection="1">
      <alignment horizontal="right" vertical="justify"/>
    </xf>
    <xf numFmtId="49" fontId="3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4" fillId="0" borderId="0" xfId="0" applyNumberFormat="1" applyFont="1" applyAlignment="1" applyProtection="1"/>
    <xf numFmtId="40" fontId="15" fillId="0" borderId="0" xfId="0" applyNumberFormat="1" applyFont="1" applyAlignment="1" applyProtection="1">
      <alignment horizontal="center" vertical="justify"/>
    </xf>
    <xf numFmtId="40" fontId="15" fillId="0" borderId="0" xfId="0" applyNumberFormat="1" applyFont="1" applyAlignment="1" applyProtection="1">
      <alignment horizontal="center"/>
    </xf>
    <xf numFmtId="0" fontId="3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11" fillId="0" borderId="0" xfId="0" applyNumberFormat="1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3" fillId="0" borderId="0" xfId="0" quotePrefix="1" applyNumberFormat="1" applyFont="1" applyAlignment="1" applyProtection="1">
      <alignment horizontal="left"/>
    </xf>
    <xf numFmtId="14" fontId="3" fillId="0" borderId="0" xfId="0" quotePrefix="1" applyNumberFormat="1" applyFont="1" applyAlignment="1" applyProtection="1">
      <alignment horizontal="left"/>
    </xf>
    <xf numFmtId="40" fontId="5" fillId="0" borderId="0" xfId="0" quotePrefix="1" applyNumberFormat="1" applyFont="1" applyBorder="1" applyAlignment="1" applyProtection="1">
      <alignment horizontal="left" vertical="justify"/>
    </xf>
    <xf numFmtId="40" fontId="15" fillId="0" borderId="0" xfId="0" applyNumberFormat="1" applyFont="1" applyAlignment="1" applyProtection="1">
      <alignment horizontal="centerContinuous" vertical="justify"/>
    </xf>
    <xf numFmtId="40" fontId="15" fillId="0" borderId="0" xfId="0" applyNumberFormat="1" applyFont="1" applyAlignment="1" applyProtection="1">
      <alignment horizontal="centerContinuous"/>
    </xf>
    <xf numFmtId="40" fontId="3" fillId="0" borderId="0" xfId="0" applyNumberFormat="1" applyFont="1" applyProtection="1">
      <protection locked="0"/>
    </xf>
    <xf numFmtId="40" fontId="3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3" fillId="0" borderId="0" xfId="0" applyFont="1" applyProtection="1"/>
    <xf numFmtId="0" fontId="7" fillId="0" borderId="0" xfId="0" applyFont="1" applyProtection="1"/>
    <xf numFmtId="40" fontId="16" fillId="0" borderId="0" xfId="0" applyNumberFormat="1" applyFont="1"/>
    <xf numFmtId="40" fontId="5" fillId="0" borderId="4" xfId="0" applyNumberFormat="1" applyFont="1" applyBorder="1" applyProtection="1"/>
    <xf numFmtId="40" fontId="17" fillId="0" borderId="4" xfId="0" applyNumberFormat="1" applyFont="1" applyBorder="1"/>
    <xf numFmtId="0" fontId="0" fillId="0" borderId="0" xfId="0" applyAlignment="1"/>
    <xf numFmtId="0" fontId="3" fillId="0" borderId="0" xfId="0" applyNumberFormat="1" applyFont="1" applyAlignment="1" applyProtection="1">
      <alignment horizontal="left"/>
    </xf>
    <xf numFmtId="0" fontId="3" fillId="0" borderId="0" xfId="0" applyNumberFormat="1" applyFont="1" applyProtection="1">
      <protection locked="0"/>
    </xf>
    <xf numFmtId="40" fontId="15" fillId="0" borderId="0" xfId="0" applyNumberFormat="1" applyFont="1" applyAlignment="1" applyProtection="1"/>
    <xf numFmtId="40" fontId="5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5" fillId="0" borderId="3" xfId="0" applyNumberFormat="1" applyFont="1" applyBorder="1" applyProtection="1"/>
    <xf numFmtId="40" fontId="5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3" fillId="0" borderId="0" xfId="0" applyNumberFormat="1" applyFont="1" applyAlignment="1" applyProtection="1">
      <alignment horizontal="left"/>
    </xf>
    <xf numFmtId="40" fontId="5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4" fillId="0" borderId="0" xfId="0" applyNumberFormat="1" applyFont="1" applyProtection="1">
      <protection locked="0"/>
    </xf>
    <xf numFmtId="40" fontId="5" fillId="0" borderId="0" xfId="0" applyNumberFormat="1" applyFont="1" applyBorder="1" applyAlignment="1" applyProtection="1">
      <alignment horizontal="left"/>
    </xf>
    <xf numFmtId="40" fontId="15" fillId="0" borderId="0" xfId="0" quotePrefix="1" applyNumberFormat="1" applyFont="1" applyAlignment="1" applyProtection="1">
      <alignment horizontal="left"/>
    </xf>
    <xf numFmtId="0" fontId="5" fillId="0" borderId="3" xfId="0" applyNumberFormat="1" applyFont="1" applyBorder="1" applyAlignment="1" applyProtection="1">
      <alignment horizontal="center" vertical="justify"/>
    </xf>
    <xf numFmtId="40" fontId="5" fillId="0" borderId="3" xfId="0" applyNumberFormat="1" applyFont="1" applyBorder="1" applyAlignment="1" applyProtection="1">
      <alignment horizontal="center" vertical="justify"/>
    </xf>
    <xf numFmtId="40" fontId="18" fillId="0" borderId="0" xfId="0" quotePrefix="1" applyNumberFormat="1" applyFont="1" applyBorder="1" applyAlignment="1" applyProtection="1">
      <alignment horizontal="center" vertical="justify"/>
    </xf>
    <xf numFmtId="40" fontId="18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4" fillId="0" borderId="0" xfId="0" applyNumberFormat="1" applyFont="1" applyAlignment="1" applyProtection="1">
      <alignment horizontal="center"/>
      <protection locked="0"/>
    </xf>
    <xf numFmtId="49" fontId="4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0" borderId="3" xfId="0" applyFont="1" applyBorder="1" applyAlignment="1" applyProtection="1">
      <alignment horizontal="left"/>
    </xf>
    <xf numFmtId="0" fontId="3" fillId="0" borderId="0" xfId="0" applyFont="1" applyAlignment="1">
      <alignment horizontal="left"/>
    </xf>
    <xf numFmtId="49" fontId="21" fillId="0" borderId="0" xfId="0" applyNumberFormat="1" applyFont="1" applyAlignment="1" applyProtection="1">
      <alignment horizontal="left"/>
    </xf>
    <xf numFmtId="40" fontId="18" fillId="0" borderId="0" xfId="0" applyNumberFormat="1" applyFont="1" applyProtection="1"/>
    <xf numFmtId="0" fontId="22" fillId="0" borderId="0" xfId="0" applyFont="1" applyBorder="1" applyAlignment="1" applyProtection="1">
      <alignment horizontal="center"/>
    </xf>
    <xf numFmtId="14" fontId="22" fillId="0" borderId="0" xfId="0" quotePrefix="1" applyNumberFormat="1" applyFont="1" applyAlignment="1" applyProtection="1">
      <alignment horizontal="left"/>
    </xf>
    <xf numFmtId="40" fontId="18" fillId="0" borderId="0" xfId="0" applyNumberFormat="1" applyFont="1" applyAlignment="1" applyProtection="1">
      <alignment horizontal="right" vertical="justify"/>
    </xf>
    <xf numFmtId="40" fontId="18" fillId="0" borderId="0" xfId="0" quotePrefix="1" applyNumberFormat="1" applyFont="1" applyAlignment="1" applyProtection="1">
      <alignment horizontal="left" vertical="justify"/>
    </xf>
    <xf numFmtId="40" fontId="18" fillId="0" borderId="0" xfId="0" applyNumberFormat="1" applyFont="1" applyAlignment="1" applyProtection="1">
      <alignment horizontal="center" vertical="justify"/>
      <protection locked="0"/>
    </xf>
    <xf numFmtId="40" fontId="18" fillId="0" borderId="0" xfId="0" applyNumberFormat="1" applyFont="1" applyAlignment="1" applyProtection="1">
      <alignment horizontal="right"/>
    </xf>
    <xf numFmtId="165" fontId="23" fillId="0" borderId="0" xfId="0" applyNumberFormat="1" applyFont="1" applyProtection="1">
      <protection locked="0"/>
    </xf>
    <xf numFmtId="0" fontId="22" fillId="0" borderId="0" xfId="0" applyFont="1"/>
    <xf numFmtId="164" fontId="24" fillId="0" borderId="0" xfId="0" applyNumberFormat="1" applyFont="1" applyAlignment="1" applyProtection="1">
      <alignment horizontal="left"/>
    </xf>
    <xf numFmtId="40" fontId="5" fillId="0" borderId="0" xfId="0" applyNumberFormat="1" applyFont="1" applyAlignment="1" applyProtection="1">
      <alignment horizontal="left"/>
    </xf>
    <xf numFmtId="40" fontId="20" fillId="0" borderId="3" xfId="0" applyNumberFormat="1" applyFont="1" applyBorder="1" applyProtection="1"/>
    <xf numFmtId="40" fontId="20" fillId="0" borderId="0" xfId="0" applyNumberFormat="1" applyFont="1" applyProtection="1"/>
    <xf numFmtId="40" fontId="5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3" fillId="0" borderId="0" xfId="0" applyNumberFormat="1" applyFont="1" applyBorder="1" applyProtection="1">
      <protection locked="0"/>
    </xf>
    <xf numFmtId="40" fontId="3" fillId="0" borderId="0" xfId="0" quotePrefix="1" applyNumberFormat="1" applyFont="1" applyBorder="1" applyAlignment="1">
      <alignment horizontal="center"/>
    </xf>
    <xf numFmtId="40" fontId="15" fillId="0" borderId="0" xfId="0" quotePrefix="1" applyNumberFormat="1" applyFont="1" applyProtection="1"/>
    <xf numFmtId="38" fontId="0" fillId="0" borderId="0" xfId="0" applyNumberFormat="1"/>
    <xf numFmtId="38" fontId="11" fillId="0" borderId="0" xfId="0" applyNumberFormat="1" applyFont="1"/>
    <xf numFmtId="0" fontId="11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11" fillId="0" borderId="0" xfId="0" applyNumberFormat="1" applyFont="1"/>
    <xf numFmtId="0" fontId="12" fillId="0" borderId="0" xfId="0" applyFont="1"/>
    <xf numFmtId="49" fontId="27" fillId="0" borderId="0" xfId="0" applyNumberFormat="1" applyFont="1"/>
    <xf numFmtId="0" fontId="28" fillId="0" borderId="0" xfId="0" applyFont="1"/>
    <xf numFmtId="0" fontId="28" fillId="0" borderId="0" xfId="0" quotePrefix="1" applyFont="1" applyAlignment="1">
      <alignment horizontal="left"/>
    </xf>
    <xf numFmtId="0" fontId="12" fillId="0" borderId="0" xfId="0" quotePrefix="1" applyFont="1" applyBorder="1" applyAlignment="1" applyProtection="1">
      <alignment horizontal="left"/>
    </xf>
    <xf numFmtId="40" fontId="5" fillId="0" borderId="0" xfId="0" quotePrefix="1" applyNumberFormat="1" applyFont="1" applyAlignment="1" applyProtection="1">
      <alignment horizontal="left"/>
    </xf>
    <xf numFmtId="0" fontId="3" fillId="0" borderId="4" xfId="0" applyFont="1" applyBorder="1" applyAlignment="1" applyProtection="1">
      <alignment horizontal="center"/>
    </xf>
    <xf numFmtId="0" fontId="3" fillId="0" borderId="4" xfId="0" applyFont="1" applyBorder="1" applyAlignment="1" applyProtection="1">
      <alignment horizontal="left"/>
    </xf>
    <xf numFmtId="40" fontId="5" fillId="0" borderId="4" xfId="0" applyNumberFormat="1" applyFont="1" applyBorder="1" applyAlignment="1" applyProtection="1">
      <alignment horizontal="right"/>
    </xf>
    <xf numFmtId="40" fontId="3" fillId="2" borderId="0" xfId="0" applyNumberFormat="1" applyFont="1" applyFill="1" applyBorder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/>
    </xf>
    <xf numFmtId="0" fontId="3" fillId="0" borderId="3" xfId="0" applyNumberFormat="1" applyFont="1" applyBorder="1" applyAlignment="1" applyProtection="1">
      <alignment horizontal="left"/>
    </xf>
    <xf numFmtId="0" fontId="3" fillId="0" borderId="4" xfId="0" applyNumberFormat="1" applyFont="1" applyBorder="1" applyAlignment="1" applyProtection="1">
      <alignment horizontal="left"/>
    </xf>
    <xf numFmtId="164" fontId="22" fillId="0" borderId="0" xfId="0" applyNumberFormat="1" applyFont="1" applyAlignment="1" applyProtection="1">
      <alignment horizontal="left"/>
    </xf>
    <xf numFmtId="40" fontId="22" fillId="0" borderId="0" xfId="0" applyNumberFormat="1" applyFont="1" applyProtection="1"/>
    <xf numFmtId="40" fontId="5" fillId="0" borderId="5" xfId="0" applyNumberFormat="1" applyFont="1" applyBorder="1" applyProtection="1"/>
    <xf numFmtId="0" fontId="3" fillId="0" borderId="5" xfId="0" applyFont="1" applyBorder="1" applyAlignment="1">
      <alignment horizontal="center"/>
    </xf>
    <xf numFmtId="0" fontId="3" fillId="0" borderId="5" xfId="0" applyNumberFormat="1" applyFont="1" applyBorder="1" applyAlignment="1" applyProtection="1">
      <alignment horizontal="center"/>
    </xf>
    <xf numFmtId="165" fontId="3" fillId="0" borderId="5" xfId="0" applyNumberFormat="1" applyFont="1" applyBorder="1" applyAlignment="1" applyProtection="1">
      <alignment horizontal="left"/>
    </xf>
    <xf numFmtId="40" fontId="4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3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11" fillId="3" borderId="0" xfId="0" applyNumberFormat="1" applyFont="1" applyFill="1" applyAlignment="1" applyProtection="1">
      <alignment horizontal="center"/>
      <protection locked="0"/>
    </xf>
    <xf numFmtId="0" fontId="11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2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1" fillId="0" borderId="1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2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3" fillId="4" borderId="0" xfId="0" applyNumberFormat="1" applyFont="1" applyFill="1" applyAlignment="1" applyProtection="1">
      <alignment horizontal="center"/>
    </xf>
    <xf numFmtId="40" fontId="22" fillId="0" borderId="0" xfId="0" applyNumberFormat="1" applyFont="1" applyAlignment="1" applyProtection="1">
      <alignment horizontal="center"/>
    </xf>
    <xf numFmtId="40" fontId="22" fillId="0" borderId="0" xfId="0" applyNumberFormat="1" applyFont="1"/>
    <xf numFmtId="0" fontId="7" fillId="0" borderId="0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40" fontId="11" fillId="0" borderId="14" xfId="0" applyNumberFormat="1" applyFont="1" applyBorder="1"/>
    <xf numFmtId="4" fontId="11" fillId="0" borderId="0" xfId="0" applyNumberFormat="1" applyFont="1" applyBorder="1"/>
    <xf numFmtId="4" fontId="11" fillId="0" borderId="5" xfId="0" applyNumberFormat="1" applyFont="1" applyBorder="1"/>
    <xf numFmtId="49" fontId="6" fillId="0" borderId="0" xfId="0" applyNumberFormat="1" applyFont="1"/>
    <xf numFmtId="0" fontId="11" fillId="0" borderId="0" xfId="0" applyFont="1" applyAlignment="1">
      <alignment horizontal="right"/>
    </xf>
    <xf numFmtId="4" fontId="11" fillId="0" borderId="14" xfId="0" applyNumberFormat="1" applyFont="1" applyBorder="1"/>
    <xf numFmtId="40" fontId="11" fillId="0" borderId="14" xfId="0" applyNumberFormat="1" applyFont="1" applyBorder="1" applyAlignment="1">
      <alignment horizontal="right"/>
    </xf>
    <xf numFmtId="49" fontId="11" fillId="0" borderId="0" xfId="0" applyNumberFormat="1" applyFont="1" applyAlignment="1">
      <alignment horizontal="center"/>
    </xf>
    <xf numFmtId="40" fontId="7" fillId="0" borderId="0" xfId="0" applyNumberFormat="1" applyFont="1" applyBorder="1" applyAlignment="1">
      <alignment horizontal="center"/>
    </xf>
    <xf numFmtId="0" fontId="33" fillId="0" borderId="0" xfId="0" applyFont="1" applyAlignment="1">
      <alignment horizontal="center"/>
    </xf>
    <xf numFmtId="164" fontId="25" fillId="0" borderId="0" xfId="0" applyNumberFormat="1" applyFont="1" applyAlignment="1" applyProtection="1">
      <alignment horizontal="left"/>
    </xf>
    <xf numFmtId="4" fontId="6" fillId="0" borderId="0" xfId="0" applyNumberFormat="1" applyFont="1" applyProtection="1">
      <protection locked="0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11" fillId="0" borderId="0" xfId="0" applyNumberFormat="1" applyFont="1"/>
    <xf numFmtId="40" fontId="11" fillId="0" borderId="8" xfId="0" applyNumberFormat="1" applyFont="1" applyBorder="1"/>
    <xf numFmtId="2" fontId="6" fillId="0" borderId="0" xfId="0" applyNumberFormat="1" applyFont="1" applyProtection="1">
      <protection locked="0"/>
    </xf>
    <xf numFmtId="2" fontId="4" fillId="0" borderId="0" xfId="0" applyNumberFormat="1" applyFont="1" applyProtection="1">
      <protection locked="0"/>
    </xf>
    <xf numFmtId="166" fontId="11" fillId="0" borderId="0" xfId="0" applyNumberFormat="1" applyFont="1"/>
    <xf numFmtId="0" fontId="11" fillId="0" borderId="17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3" fillId="0" borderId="0" xfId="0" applyFont="1"/>
    <xf numFmtId="49" fontId="28" fillId="0" borderId="0" xfId="0" applyNumberFormat="1" applyFont="1" applyAlignment="1">
      <alignment horizontal="left"/>
    </xf>
    <xf numFmtId="0" fontId="6" fillId="0" borderId="0" xfId="0" applyFont="1"/>
    <xf numFmtId="166" fontId="6" fillId="0" borderId="0" xfId="0" applyNumberFormat="1" applyFont="1"/>
    <xf numFmtId="0" fontId="38" fillId="0" borderId="0" xfId="0" applyFont="1"/>
    <xf numFmtId="0" fontId="27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9" fillId="0" borderId="0" xfId="0" applyFont="1"/>
    <xf numFmtId="40" fontId="4" fillId="0" borderId="0" xfId="0" applyNumberFormat="1" applyFont="1" applyProtection="1">
      <protection locked="0"/>
    </xf>
    <xf numFmtId="0" fontId="28" fillId="0" borderId="0" xfId="0" applyFont="1" applyAlignment="1">
      <alignment horizontal="center"/>
    </xf>
    <xf numFmtId="0" fontId="28" fillId="0" borderId="0" xfId="0" applyFont="1" applyAlignment="1"/>
    <xf numFmtId="0" fontId="11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0" xfId="0" applyAlignment="1"/>
    <xf numFmtId="0" fontId="26" fillId="0" borderId="0" xfId="0" applyFont="1" applyAlignment="1">
      <alignment horizontal="center"/>
    </xf>
    <xf numFmtId="49" fontId="11" fillId="0" borderId="0" xfId="0" applyNumberFormat="1" applyFont="1" applyAlignment="1" applyProtection="1">
      <alignment horizontal="center"/>
    </xf>
    <xf numFmtId="49" fontId="12" fillId="0" borderId="0" xfId="0" applyNumberFormat="1" applyFont="1" applyBorder="1" applyAlignment="1" applyProtection="1">
      <alignment horizontal="left"/>
      <protection locked="0"/>
    </xf>
    <xf numFmtId="49" fontId="12" fillId="0" borderId="10" xfId="0" applyNumberFormat="1" applyFont="1" applyBorder="1" applyAlignment="1" applyProtection="1">
      <alignment horizontal="left"/>
      <protection locked="0"/>
    </xf>
    <xf numFmtId="49" fontId="12" fillId="0" borderId="13" xfId="0" applyNumberFormat="1" applyFont="1" applyBorder="1" applyAlignment="1" applyProtection="1">
      <alignment horizontal="left"/>
      <protection locked="0"/>
    </xf>
    <xf numFmtId="49" fontId="12" fillId="0" borderId="21" xfId="0" applyNumberFormat="1" applyFont="1" applyBorder="1" applyAlignment="1" applyProtection="1">
      <alignment horizontal="left"/>
      <protection locked="0"/>
    </xf>
    <xf numFmtId="0" fontId="30" fillId="0" borderId="0" xfId="0" applyFont="1" applyAlignment="1" applyProtection="1">
      <alignment horizontal="center"/>
    </xf>
    <xf numFmtId="49" fontId="12" fillId="0" borderId="0" xfId="0" applyNumberFormat="1" applyFont="1" applyAlignment="1" applyProtection="1">
      <alignment horizontal="left"/>
      <protection locked="0"/>
    </xf>
    <xf numFmtId="49" fontId="12" fillId="0" borderId="0" xfId="0" applyNumberFormat="1" applyFont="1" applyAlignment="1" applyProtection="1">
      <alignment horizontal="left"/>
    </xf>
    <xf numFmtId="49" fontId="12" fillId="0" borderId="0" xfId="0" applyNumberFormat="1" applyFont="1" applyBorder="1" applyAlignment="1" applyProtection="1">
      <alignment horizontal="left"/>
    </xf>
    <xf numFmtId="49" fontId="12" fillId="0" borderId="10" xfId="0" applyNumberFormat="1" applyFont="1" applyBorder="1" applyAlignment="1" applyProtection="1">
      <alignment horizontal="left"/>
    </xf>
    <xf numFmtId="0" fontId="29" fillId="0" borderId="22" xfId="0" applyFont="1" applyBorder="1" applyAlignment="1">
      <alignment horizontal="center"/>
    </xf>
    <xf numFmtId="0" fontId="29" fillId="0" borderId="8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49" fontId="32" fillId="0" borderId="0" xfId="0" applyNumberFormat="1" applyFont="1" applyBorder="1" applyAlignment="1"/>
    <xf numFmtId="0" fontId="32" fillId="0" borderId="0" xfId="0" applyFont="1" applyBorder="1" applyAlignment="1"/>
    <xf numFmtId="0" fontId="31" fillId="0" borderId="11" xfId="0" applyFont="1" applyBorder="1" applyAlignment="1">
      <alignment horizontal="center"/>
    </xf>
    <xf numFmtId="0" fontId="31" fillId="0" borderId="0" xfId="0" applyFont="1" applyBorder="1" applyAlignment="1">
      <alignment horizontal="center"/>
    </xf>
  </cellXfs>
  <cellStyles count="29">
    <cellStyle name="Comma 2" xfId="3"/>
    <cellStyle name="Comma 2 2" xfId="16"/>
    <cellStyle name="Comma 3" xfId="8"/>
    <cellStyle name="Normal" xfId="0" builtinId="0"/>
    <cellStyle name="Normal 2" xfId="1"/>
    <cellStyle name="Normal 2 2" xfId="14"/>
    <cellStyle name="Normal 2 3" xfId="11"/>
    <cellStyle name="Normal 3" xfId="2"/>
    <cellStyle name="Normal 3 2" xfId="6"/>
    <cellStyle name="Normal 3 2 2" xfId="19"/>
    <cellStyle name="Normal 3 2 2 2" xfId="28"/>
    <cellStyle name="Normal 3 2 3" xfId="23"/>
    <cellStyle name="Normal 3 3" xfId="15"/>
    <cellStyle name="Normal 3 3 2" xfId="26"/>
    <cellStyle name="Normal 3 3 3" xfId="22"/>
    <cellStyle name="Normal 3 4" xfId="12"/>
    <cellStyle name="Normal 3 4 2" xfId="24"/>
    <cellStyle name="Normal 3 5" xfId="21"/>
    <cellStyle name="Normal 4" xfId="5"/>
    <cellStyle name="Normal 4 2" xfId="18"/>
    <cellStyle name="Normal 4 2 2" xfId="27"/>
    <cellStyle name="Normal 4 3" xfId="10"/>
    <cellStyle name="Normal 5" xfId="13"/>
    <cellStyle name="Normal 5 2" xfId="25"/>
    <cellStyle name="Normal 6" xfId="7"/>
    <cellStyle name="Normal 7" xfId="20"/>
    <cellStyle name="Percent 2" xfId="4"/>
    <cellStyle name="Percent 2 2" xfId="17"/>
    <cellStyle name="Percent 3" xfId="9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120" zoomScaleNormal="120" workbookViewId="0">
      <pane xSplit="5" ySplit="3" topLeftCell="F149" activePane="bottomRight" state="frozen"/>
      <selection pane="topRight" activeCell="F1" sqref="F1"/>
      <selection pane="bottomLeft" activeCell="A4" sqref="A4"/>
      <selection pane="bottomRight" activeCell="H161" sqref="H161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918</v>
      </c>
      <c r="B2" s="21">
        <v>476</v>
      </c>
      <c r="C2" s="21">
        <v>0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f>1813453.62+275+22566.41</f>
        <v>1836295.03</v>
      </c>
      <c r="G9" s="18"/>
      <c r="H9" s="18"/>
      <c r="I9" s="18"/>
      <c r="J9" s="67">
        <f>SUM(I439)</f>
        <v>388326.47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/>
      <c r="G12" s="18">
        <v>39771.54</v>
      </c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149101</v>
      </c>
      <c r="G13" s="18">
        <v>8900.01</v>
      </c>
      <c r="H13" s="18">
        <v>83434.14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f>423958.88-57633.12</f>
        <v>366325.76000000001</v>
      </c>
      <c r="G14" s="18">
        <v>9234.82</v>
      </c>
      <c r="H14" s="18">
        <v>217833.84</v>
      </c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58080.75</v>
      </c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2409802.54</v>
      </c>
      <c r="G19" s="41">
        <f>SUM(G9:G18)</f>
        <v>57906.37</v>
      </c>
      <c r="H19" s="41">
        <f>SUM(H9:H18)</f>
        <v>301267.98</v>
      </c>
      <c r="I19" s="41">
        <f>SUM(I9:I18)</f>
        <v>0</v>
      </c>
      <c r="J19" s="41">
        <f>SUM(J9:J18)</f>
        <v>388326.47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272306.68</v>
      </c>
      <c r="G22" s="18"/>
      <c r="H22" s="18"/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161091.56</v>
      </c>
      <c r="G24" s="18"/>
      <c r="H24" s="18">
        <v>23216.76</v>
      </c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45105.120000000003</v>
      </c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v>3891.01</v>
      </c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39276.699999999997</v>
      </c>
      <c r="G30" s="18">
        <v>12013.7</v>
      </c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>
        <v>13785.91</v>
      </c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535456.98</v>
      </c>
      <c r="G32" s="41">
        <f>SUM(G22:G31)</f>
        <v>12013.7</v>
      </c>
      <c r="H32" s="41">
        <f>SUM(H22:H31)</f>
        <v>23216.76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>
        <v>58080.75</v>
      </c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>
        <f>50713.81+557517.32-562338.46</f>
        <v>45892.669999999925</v>
      </c>
      <c r="H43" s="18">
        <f>296470.89+43458.44+869537.07-931415.18</f>
        <v>278051.21999999986</v>
      </c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>
        <v>21704.99</v>
      </c>
      <c r="G48" s="18"/>
      <c r="H48" s="18"/>
      <c r="I48" s="18"/>
      <c r="J48" s="13">
        <f>SUM(I459)</f>
        <v>388326.47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f>333408.54-36050-7282</f>
        <v>290076.53999999998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f>1874345.56-F36-F49-F48</f>
        <v>1504483.28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1874345.56</v>
      </c>
      <c r="G51" s="41">
        <f>SUM(G35:G50)</f>
        <v>45892.669999999925</v>
      </c>
      <c r="H51" s="41">
        <f>SUM(H35:H50)</f>
        <v>278051.21999999986</v>
      </c>
      <c r="I51" s="41">
        <f>SUM(I35:I50)</f>
        <v>0</v>
      </c>
      <c r="J51" s="41">
        <f>SUM(J35:J50)</f>
        <v>388326.47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2409802.54</v>
      </c>
      <c r="G52" s="41">
        <f>G51+G32</f>
        <v>57906.369999999923</v>
      </c>
      <c r="H52" s="41">
        <f>H51+H32</f>
        <v>301267.97999999986</v>
      </c>
      <c r="I52" s="41">
        <f>I51+I32</f>
        <v>0</v>
      </c>
      <c r="J52" s="41">
        <f>J51+J32</f>
        <v>388326.47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21714905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21714905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44150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>
        <v>12216.82</v>
      </c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3800040.18</v>
      </c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3856407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31577.91</v>
      </c>
      <c r="G96" s="18"/>
      <c r="H96" s="18"/>
      <c r="I96" s="18"/>
      <c r="J96" s="18">
        <f>2035.19+3024.21</f>
        <v>5059.3999999999996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391952.68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>
        <v>3031.35</v>
      </c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52430.92</v>
      </c>
      <c r="G110" s="18"/>
      <c r="H110" s="18">
        <v>144260.79999999999</v>
      </c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87040.18</v>
      </c>
      <c r="G111" s="41">
        <f>SUM(G96:G110)</f>
        <v>391952.68</v>
      </c>
      <c r="H111" s="41">
        <f>SUM(H96:H110)</f>
        <v>144260.79999999999</v>
      </c>
      <c r="I111" s="41">
        <f>SUM(I96:I110)</f>
        <v>0</v>
      </c>
      <c r="J111" s="41">
        <f>SUM(J96:J110)</f>
        <v>5059.3999999999996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25658352.18</v>
      </c>
      <c r="G112" s="41">
        <f>G60+G111</f>
        <v>391952.68</v>
      </c>
      <c r="H112" s="41">
        <f>H60+H79+H94+H111</f>
        <v>144260.79999999999</v>
      </c>
      <c r="I112" s="41">
        <f>I60+I111</f>
        <v>0</v>
      </c>
      <c r="J112" s="41">
        <f>J60+J111</f>
        <v>5059.3999999999996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3420930.8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2607797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21213.040000000001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6049940.8399999999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588886.94999999995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214115.29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26134.2</v>
      </c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7526.06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>
        <v>24750</v>
      </c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829136.44</v>
      </c>
      <c r="G136" s="41">
        <f>SUM(G123:G135)</f>
        <v>7526.06</v>
      </c>
      <c r="H136" s="41">
        <f>SUM(H123:H135)</f>
        <v>24750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6879077.2799999993</v>
      </c>
      <c r="G140" s="41">
        <f>G121+SUM(G136:G137)</f>
        <v>7526.06</v>
      </c>
      <c r="H140" s="41">
        <f>H121+SUM(H136:H139)</f>
        <v>24750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198001.3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68466.759999999995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128038.58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275">
        <v>434058.21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123578.89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123578.89</v>
      </c>
      <c r="G162" s="41">
        <f>SUM(G150:G161)</f>
        <v>128038.58</v>
      </c>
      <c r="H162" s="41">
        <f>SUM(H150:H161)</f>
        <v>700526.27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123578.89</v>
      </c>
      <c r="G169" s="41">
        <f>G147+G162+SUM(G163:G168)</f>
        <v>128038.58</v>
      </c>
      <c r="H169" s="41">
        <f>H147+H162+SUM(H163:H168)</f>
        <v>700526.27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30000</v>
      </c>
      <c r="H179" s="18"/>
      <c r="I179" s="18"/>
      <c r="J179" s="18"/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30000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30000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32661008.350000001</v>
      </c>
      <c r="G193" s="47">
        <f>G112+G140+G169+G192</f>
        <v>557517.31999999995</v>
      </c>
      <c r="H193" s="47">
        <f>H112+H140+H169+H192</f>
        <v>869537.07000000007</v>
      </c>
      <c r="I193" s="47">
        <f>I112+I140+I169+I192</f>
        <v>0</v>
      </c>
      <c r="J193" s="47">
        <f>J112+J140+J192</f>
        <v>5059.3999999999996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3031828.44</v>
      </c>
      <c r="G197" s="18">
        <v>1532175.14</v>
      </c>
      <c r="H197" s="18">
        <v>52813.51</v>
      </c>
      <c r="I197" s="18">
        <v>146576.07</v>
      </c>
      <c r="J197" s="18">
        <v>65774.14</v>
      </c>
      <c r="K197" s="18">
        <v>6821.5</v>
      </c>
      <c r="L197" s="19">
        <f>SUM(F197:K197)</f>
        <v>4835988.8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1288262.3400000001</v>
      </c>
      <c r="G198" s="18">
        <v>806549.99</v>
      </c>
      <c r="H198" s="18">
        <v>327074.03999999998</v>
      </c>
      <c r="I198" s="18">
        <v>9015.85</v>
      </c>
      <c r="J198" s="18">
        <v>427.44</v>
      </c>
      <c r="K198" s="18"/>
      <c r="L198" s="19">
        <f>SUM(F198:K198)</f>
        <v>2431329.66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54168.12</v>
      </c>
      <c r="G200" s="18">
        <v>21284.23</v>
      </c>
      <c r="H200" s="18"/>
      <c r="I200" s="18"/>
      <c r="J200" s="18"/>
      <c r="K200" s="18"/>
      <c r="L200" s="19">
        <f>SUM(F200:K200)</f>
        <v>75452.350000000006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558734.54</v>
      </c>
      <c r="G202" s="18">
        <v>317733.03000000003</v>
      </c>
      <c r="H202" s="18">
        <v>334319.42</v>
      </c>
      <c r="I202" s="18">
        <v>4969.42</v>
      </c>
      <c r="J202" s="18"/>
      <c r="K202" s="18"/>
      <c r="L202" s="19">
        <f t="shared" ref="L202:L208" si="0">SUM(F202:K202)</f>
        <v>1215756.4099999999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107498.2</v>
      </c>
      <c r="G203" s="18">
        <v>104502.64</v>
      </c>
      <c r="H203" s="18">
        <v>20978.49</v>
      </c>
      <c r="I203" s="18">
        <v>18953.099999999999</v>
      </c>
      <c r="J203" s="18"/>
      <c r="K203" s="18"/>
      <c r="L203" s="19">
        <f t="shared" si="0"/>
        <v>251932.43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197155.23</v>
      </c>
      <c r="G204" s="18">
        <v>64470.96</v>
      </c>
      <c r="H204" s="18">
        <v>43861.279999999999</v>
      </c>
      <c r="I204" s="18">
        <v>4422.04</v>
      </c>
      <c r="J204" s="18"/>
      <c r="K204" s="18">
        <v>10823.29</v>
      </c>
      <c r="L204" s="19">
        <f t="shared" si="0"/>
        <v>320732.79999999993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544281.38</v>
      </c>
      <c r="G205" s="18">
        <v>298947.40999999997</v>
      </c>
      <c r="H205" s="18">
        <v>8306.98</v>
      </c>
      <c r="I205" s="18">
        <v>2825.74</v>
      </c>
      <c r="J205" s="18">
        <v>7425</v>
      </c>
      <c r="K205" s="18">
        <v>7351</v>
      </c>
      <c r="L205" s="19">
        <f t="shared" si="0"/>
        <v>869137.51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>
        <v>101265.33</v>
      </c>
      <c r="G206" s="18">
        <v>40927.19</v>
      </c>
      <c r="H206" s="18">
        <v>2894.91</v>
      </c>
      <c r="I206" s="18">
        <v>1833</v>
      </c>
      <c r="J206" s="18">
        <v>134.72</v>
      </c>
      <c r="K206" s="18">
        <v>2598.85</v>
      </c>
      <c r="L206" s="19">
        <f t="shared" si="0"/>
        <v>149654.00000000003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424469.62</v>
      </c>
      <c r="G207" s="18">
        <v>253441.43</v>
      </c>
      <c r="H207" s="18">
        <v>158670.1</v>
      </c>
      <c r="I207" s="18">
        <v>219686.46</v>
      </c>
      <c r="J207" s="18">
        <v>379.74</v>
      </c>
      <c r="K207" s="18">
        <v>1484.58</v>
      </c>
      <c r="L207" s="19">
        <f t="shared" si="0"/>
        <v>1058131.9300000002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v>486511.35999999999</v>
      </c>
      <c r="I208" s="18">
        <v>24809.7</v>
      </c>
      <c r="J208" s="18"/>
      <c r="K208" s="18"/>
      <c r="L208" s="19">
        <f t="shared" si="0"/>
        <v>511321.06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>
        <v>91069.75</v>
      </c>
      <c r="G209" s="18">
        <v>113333.39</v>
      </c>
      <c r="H209" s="18">
        <v>96089.15</v>
      </c>
      <c r="I209" s="18"/>
      <c r="J209" s="18"/>
      <c r="K209" s="18"/>
      <c r="L209" s="19">
        <f>SUM(F209:K209)</f>
        <v>300492.29000000004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6398732.9500000011</v>
      </c>
      <c r="G211" s="41">
        <f t="shared" si="1"/>
        <v>3553365.41</v>
      </c>
      <c r="H211" s="41">
        <f t="shared" si="1"/>
        <v>1531519.2399999998</v>
      </c>
      <c r="I211" s="41">
        <f t="shared" si="1"/>
        <v>433091.38000000006</v>
      </c>
      <c r="J211" s="41">
        <f t="shared" si="1"/>
        <v>74141.040000000008</v>
      </c>
      <c r="K211" s="41">
        <f t="shared" si="1"/>
        <v>29079.22</v>
      </c>
      <c r="L211" s="41">
        <f t="shared" si="1"/>
        <v>12019929.239999998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v>1759959.19</v>
      </c>
      <c r="G215" s="18">
        <v>987300.22</v>
      </c>
      <c r="H215" s="18">
        <v>25826.29</v>
      </c>
      <c r="I215" s="18">
        <v>80630.52</v>
      </c>
      <c r="J215" s="18">
        <v>31298.6</v>
      </c>
      <c r="K215" s="18">
        <v>3582.05</v>
      </c>
      <c r="L215" s="19">
        <f>SUM(F215:K215)</f>
        <v>2888596.87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v>484569.94</v>
      </c>
      <c r="G216" s="18">
        <v>328546.78000000003</v>
      </c>
      <c r="H216" s="18">
        <v>256569.44</v>
      </c>
      <c r="I216" s="18">
        <v>4357.49</v>
      </c>
      <c r="J216" s="18">
        <v>242.27</v>
      </c>
      <c r="K216" s="18"/>
      <c r="L216" s="19">
        <f>SUM(F216:K216)</f>
        <v>1074285.92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v>69746.69</v>
      </c>
      <c r="G218" s="18">
        <v>19967.990000000002</v>
      </c>
      <c r="H218" s="18">
        <v>11986</v>
      </c>
      <c r="I218" s="18">
        <v>4269.79</v>
      </c>
      <c r="J218" s="18">
        <v>10551.97</v>
      </c>
      <c r="K218" s="18">
        <v>1771.65</v>
      </c>
      <c r="L218" s="19">
        <f>SUM(F218:K218)</f>
        <v>118294.09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v>307345.7</v>
      </c>
      <c r="G220" s="18">
        <v>165310.41</v>
      </c>
      <c r="H220" s="18">
        <v>102746.45</v>
      </c>
      <c r="I220" s="18">
        <v>2330.56</v>
      </c>
      <c r="J220" s="18"/>
      <c r="K220" s="18">
        <v>500</v>
      </c>
      <c r="L220" s="19">
        <f t="shared" ref="L220:L226" si="2">SUM(F220:K220)</f>
        <v>578233.12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v>63315.360000000001</v>
      </c>
      <c r="G221" s="18">
        <v>30530.74</v>
      </c>
      <c r="H221" s="18">
        <v>11890.58</v>
      </c>
      <c r="I221" s="18">
        <v>5010.62</v>
      </c>
      <c r="J221" s="18"/>
      <c r="K221" s="18"/>
      <c r="L221" s="19">
        <f t="shared" si="2"/>
        <v>110747.3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v>111747.27</v>
      </c>
      <c r="G222" s="18">
        <v>36542.04</v>
      </c>
      <c r="H222" s="18">
        <v>24860.5</v>
      </c>
      <c r="I222" s="18">
        <v>2506.41</v>
      </c>
      <c r="J222" s="18"/>
      <c r="K222" s="18">
        <v>6134.63</v>
      </c>
      <c r="L222" s="19">
        <f t="shared" si="2"/>
        <v>181790.85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v>274931.42</v>
      </c>
      <c r="G223" s="18">
        <v>110929.97</v>
      </c>
      <c r="H223" s="18">
        <v>2462.38</v>
      </c>
      <c r="I223" s="18"/>
      <c r="J223" s="18"/>
      <c r="K223" s="18">
        <v>3775.8</v>
      </c>
      <c r="L223" s="19">
        <f t="shared" si="2"/>
        <v>392099.57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>
        <v>57397.03</v>
      </c>
      <c r="G224" s="18">
        <v>23197.47</v>
      </c>
      <c r="H224" s="18">
        <v>1640.83</v>
      </c>
      <c r="I224" s="18">
        <v>1038.94</v>
      </c>
      <c r="J224" s="18">
        <v>76.36</v>
      </c>
      <c r="K224" s="18">
        <v>1473.03</v>
      </c>
      <c r="L224" s="19">
        <f t="shared" si="2"/>
        <v>84823.66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v>202946.13</v>
      </c>
      <c r="G225" s="18">
        <v>113746.02</v>
      </c>
      <c r="H225" s="18">
        <v>63269.23</v>
      </c>
      <c r="I225" s="18">
        <v>134184.68</v>
      </c>
      <c r="J225" s="18">
        <v>189.87</v>
      </c>
      <c r="K225" s="18">
        <v>879.62</v>
      </c>
      <c r="L225" s="19">
        <f t="shared" si="2"/>
        <v>515215.55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>
        <v>309324.21000000002</v>
      </c>
      <c r="I226" s="18">
        <v>14062.1</v>
      </c>
      <c r="J226" s="18"/>
      <c r="K226" s="18"/>
      <c r="L226" s="19">
        <f t="shared" si="2"/>
        <v>323386.31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>
        <v>51618.19</v>
      </c>
      <c r="G227" s="18">
        <v>64237.18</v>
      </c>
      <c r="H227" s="18">
        <v>54463.18</v>
      </c>
      <c r="I227" s="18"/>
      <c r="J227" s="18"/>
      <c r="K227" s="18"/>
      <c r="L227" s="19">
        <f>SUM(F227:K227)</f>
        <v>170318.55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3383576.9199999995</v>
      </c>
      <c r="G229" s="41">
        <f>SUM(G215:G228)</f>
        <v>1880308.8199999998</v>
      </c>
      <c r="H229" s="41">
        <f>SUM(H215:H228)</f>
        <v>865039.09000000008</v>
      </c>
      <c r="I229" s="41">
        <f>SUM(I215:I228)</f>
        <v>248391.11000000002</v>
      </c>
      <c r="J229" s="41">
        <f>SUM(J215:J228)</f>
        <v>42359.07</v>
      </c>
      <c r="K229" s="41">
        <f t="shared" si="3"/>
        <v>18116.78</v>
      </c>
      <c r="L229" s="41">
        <f t="shared" si="3"/>
        <v>6437791.7899999991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v>2940241.59</v>
      </c>
      <c r="G233" s="18">
        <v>1384147.43</v>
      </c>
      <c r="H233" s="18">
        <v>83238.070000000007</v>
      </c>
      <c r="I233" s="18">
        <v>98252.07</v>
      </c>
      <c r="J233" s="18">
        <v>96643.43</v>
      </c>
      <c r="K233" s="18">
        <v>7411.13</v>
      </c>
      <c r="L233" s="19">
        <f>SUM(F233:K233)</f>
        <v>4609933.72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v>779351.89</v>
      </c>
      <c r="G234" s="18">
        <v>442828.21</v>
      </c>
      <c r="H234" s="18">
        <v>296374.26</v>
      </c>
      <c r="I234" s="18">
        <v>9459.48</v>
      </c>
      <c r="J234" s="18">
        <v>736.85</v>
      </c>
      <c r="K234" s="18"/>
      <c r="L234" s="19">
        <f>SUM(F234:K234)</f>
        <v>1528750.6900000002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>
        <v>217724.7</v>
      </c>
      <c r="I235" s="18"/>
      <c r="J235" s="18"/>
      <c r="K235" s="18"/>
      <c r="L235" s="19">
        <f>SUM(F235:K235)</f>
        <v>217724.7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v>190332.69</v>
      </c>
      <c r="G236" s="18">
        <v>49138.54</v>
      </c>
      <c r="H236" s="18">
        <v>55049.52</v>
      </c>
      <c r="I236" s="18">
        <v>11818.28</v>
      </c>
      <c r="J236" s="18">
        <v>66798.289999999994</v>
      </c>
      <c r="K236" s="18">
        <v>19165.71</v>
      </c>
      <c r="L236" s="19">
        <f>SUM(F236:K236)</f>
        <v>392303.03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v>435583.42</v>
      </c>
      <c r="G238" s="18">
        <v>258410.81</v>
      </c>
      <c r="H238" s="18">
        <v>63614.65</v>
      </c>
      <c r="I238" s="18">
        <v>11903.46</v>
      </c>
      <c r="J238" s="18"/>
      <c r="K238" s="18">
        <v>204</v>
      </c>
      <c r="L238" s="19">
        <f t="shared" ref="L238:L244" si="4">SUM(F238:K238)</f>
        <v>769716.34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v>73347.259999999995</v>
      </c>
      <c r="G239" s="18">
        <v>90869.13</v>
      </c>
      <c r="H239" s="18">
        <v>22983.33</v>
      </c>
      <c r="I239" s="18">
        <v>26972.2</v>
      </c>
      <c r="J239" s="18">
        <v>886.33</v>
      </c>
      <c r="K239" s="18"/>
      <c r="L239" s="19">
        <f t="shared" si="4"/>
        <v>215058.25000000003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210610.61</v>
      </c>
      <c r="G240" s="18">
        <v>68870.95</v>
      </c>
      <c r="H240" s="18">
        <v>46854.71</v>
      </c>
      <c r="I240" s="18">
        <v>4723.84</v>
      </c>
      <c r="J240" s="18"/>
      <c r="K240" s="18">
        <v>11561.96</v>
      </c>
      <c r="L240" s="19">
        <f t="shared" si="4"/>
        <v>342622.07000000007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v>409413.79</v>
      </c>
      <c r="G241" s="18">
        <v>211673.74</v>
      </c>
      <c r="H241" s="18">
        <v>19603.87</v>
      </c>
      <c r="I241" s="18">
        <v>13422.77</v>
      </c>
      <c r="J241" s="18">
        <v>7425</v>
      </c>
      <c r="K241" s="18">
        <v>15751.91</v>
      </c>
      <c r="L241" s="19">
        <f t="shared" si="4"/>
        <v>677291.08000000007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>
        <v>108176.46</v>
      </c>
      <c r="G242" s="18">
        <v>43720.38</v>
      </c>
      <c r="H242" s="18">
        <v>3092.47</v>
      </c>
      <c r="I242" s="18">
        <v>1958.11</v>
      </c>
      <c r="J242" s="18">
        <v>143.91</v>
      </c>
      <c r="K242" s="18">
        <v>2776.22</v>
      </c>
      <c r="L242" s="19">
        <f t="shared" si="4"/>
        <v>159867.54999999999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v>495331.29</v>
      </c>
      <c r="G243" s="18">
        <v>307875.67</v>
      </c>
      <c r="H243" s="18">
        <v>262695.75</v>
      </c>
      <c r="I243" s="18">
        <v>340450.11</v>
      </c>
      <c r="J243" s="18">
        <v>189.87</v>
      </c>
      <c r="K243" s="18">
        <v>986.8</v>
      </c>
      <c r="L243" s="19">
        <f t="shared" si="4"/>
        <v>1407529.49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v>481802.9</v>
      </c>
      <c r="I244" s="18">
        <v>26502.91</v>
      </c>
      <c r="J244" s="18"/>
      <c r="K244" s="18"/>
      <c r="L244" s="19">
        <f t="shared" si="4"/>
        <v>508305.81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>
        <v>97285.06</v>
      </c>
      <c r="G245" s="18">
        <v>121068.13</v>
      </c>
      <c r="H245" s="18">
        <v>102647.01</v>
      </c>
      <c r="I245" s="18"/>
      <c r="J245" s="18"/>
      <c r="K245" s="18"/>
      <c r="L245" s="19">
        <f>SUM(F245:K245)</f>
        <v>321000.2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5739674.0599999996</v>
      </c>
      <c r="G247" s="41">
        <f t="shared" si="5"/>
        <v>2978602.9899999993</v>
      </c>
      <c r="H247" s="41">
        <f t="shared" si="5"/>
        <v>1655681.24</v>
      </c>
      <c r="I247" s="41">
        <f t="shared" si="5"/>
        <v>545463.23</v>
      </c>
      <c r="J247" s="41">
        <f t="shared" si="5"/>
        <v>172823.67999999999</v>
      </c>
      <c r="K247" s="41">
        <f t="shared" si="5"/>
        <v>57857.73000000001</v>
      </c>
      <c r="L247" s="41">
        <f t="shared" si="5"/>
        <v>11150102.930000002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>
        <v>360232.37</v>
      </c>
      <c r="I255" s="18"/>
      <c r="J255" s="18"/>
      <c r="K255" s="18"/>
      <c r="L255" s="19">
        <f t="shared" si="6"/>
        <v>360232.37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360232.37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360232.37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15521983.93</v>
      </c>
      <c r="G257" s="41">
        <f t="shared" si="8"/>
        <v>8412277.2199999988</v>
      </c>
      <c r="H257" s="41">
        <f t="shared" si="8"/>
        <v>4412471.9400000004</v>
      </c>
      <c r="I257" s="41">
        <f t="shared" si="8"/>
        <v>1226945.7200000002</v>
      </c>
      <c r="J257" s="41">
        <f t="shared" si="8"/>
        <v>289323.79000000004</v>
      </c>
      <c r="K257" s="41">
        <f t="shared" si="8"/>
        <v>105053.73000000001</v>
      </c>
      <c r="L257" s="41">
        <f t="shared" si="8"/>
        <v>29968056.330000002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1225784.6200000001</v>
      </c>
      <c r="L260" s="19">
        <f>SUM(F260:K260)</f>
        <v>1225784.6200000001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1079725.8799999999</v>
      </c>
      <c r="L261" s="19">
        <f>SUM(F261:K261)</f>
        <v>1079725.8799999999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30000</v>
      </c>
      <c r="L263" s="19">
        <f>SUM(F263:K263)</f>
        <v>30000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/>
      <c r="L266" s="19">
        <f t="shared" si="9"/>
        <v>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2335510.5</v>
      </c>
      <c r="L270" s="41">
        <f t="shared" si="9"/>
        <v>2335510.5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15521983.93</v>
      </c>
      <c r="G271" s="42">
        <f t="shared" si="11"/>
        <v>8412277.2199999988</v>
      </c>
      <c r="H271" s="42">
        <f t="shared" si="11"/>
        <v>4412471.9400000004</v>
      </c>
      <c r="I271" s="42">
        <f t="shared" si="11"/>
        <v>1226945.7200000002</v>
      </c>
      <c r="J271" s="42">
        <f t="shared" si="11"/>
        <v>289323.79000000004</v>
      </c>
      <c r="K271" s="42">
        <f t="shared" si="11"/>
        <v>2440564.23</v>
      </c>
      <c r="L271" s="42">
        <f t="shared" si="11"/>
        <v>32303566.830000002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107609.5</v>
      </c>
      <c r="G276" s="18">
        <v>26129.17</v>
      </c>
      <c r="H276" s="18">
        <v>14087.79</v>
      </c>
      <c r="I276" s="18">
        <v>5257.58</v>
      </c>
      <c r="J276" s="18">
        <v>25124.98</v>
      </c>
      <c r="K276" s="18"/>
      <c r="L276" s="19">
        <f>SUM(F276:K276)</f>
        <v>178209.02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108013.07</v>
      </c>
      <c r="G277" s="18">
        <v>23654.21</v>
      </c>
      <c r="H277" s="18">
        <v>10216.9</v>
      </c>
      <c r="I277" s="18"/>
      <c r="J277" s="18"/>
      <c r="K277" s="18"/>
      <c r="L277" s="19">
        <f>SUM(F277:K277)</f>
        <v>141884.18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v>10576.92</v>
      </c>
      <c r="G281" s="18">
        <v>2589.2399999999998</v>
      </c>
      <c r="H281" s="18"/>
      <c r="I281" s="18"/>
      <c r="J281" s="18"/>
      <c r="K281" s="18"/>
      <c r="L281" s="19">
        <f t="shared" ref="L281:L287" si="12">SUM(F281:K281)</f>
        <v>13166.16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7681.27</v>
      </c>
      <c r="G282" s="18">
        <v>1785.82</v>
      </c>
      <c r="H282" s="18">
        <v>23379.31</v>
      </c>
      <c r="I282" s="18">
        <v>1395.9</v>
      </c>
      <c r="J282" s="18"/>
      <c r="K282" s="18">
        <v>2187.5500000000002</v>
      </c>
      <c r="L282" s="19">
        <f t="shared" si="12"/>
        <v>36429.850000000006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>
        <v>4518.37</v>
      </c>
      <c r="I283" s="18"/>
      <c r="J283" s="18"/>
      <c r="K283" s="18"/>
      <c r="L283" s="19">
        <f t="shared" si="12"/>
        <v>4518.37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233880.76</v>
      </c>
      <c r="G290" s="42">
        <f t="shared" si="13"/>
        <v>54158.439999999995</v>
      </c>
      <c r="H290" s="42">
        <f t="shared" si="13"/>
        <v>52202.37</v>
      </c>
      <c r="I290" s="42">
        <f t="shared" si="13"/>
        <v>6653.48</v>
      </c>
      <c r="J290" s="42">
        <f t="shared" si="13"/>
        <v>25124.98</v>
      </c>
      <c r="K290" s="42">
        <f t="shared" si="13"/>
        <v>2187.5500000000002</v>
      </c>
      <c r="L290" s="41">
        <f t="shared" si="13"/>
        <v>374207.57999999996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>
        <v>29885.14</v>
      </c>
      <c r="G295" s="18">
        <v>10073.040000000001</v>
      </c>
      <c r="H295" s="18">
        <v>10490.91</v>
      </c>
      <c r="I295" s="18">
        <v>1789</v>
      </c>
      <c r="J295" s="18">
        <v>12632</v>
      </c>
      <c r="K295" s="18"/>
      <c r="L295" s="19">
        <f>SUM(F295:K295)</f>
        <v>64870.09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>
        <v>74676.34</v>
      </c>
      <c r="G296" s="18">
        <v>16175.96</v>
      </c>
      <c r="H296" s="18">
        <v>7608.33</v>
      </c>
      <c r="I296" s="18"/>
      <c r="J296" s="18"/>
      <c r="K296" s="18"/>
      <c r="L296" s="19">
        <f>SUM(F296:K296)</f>
        <v>98460.62999999999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>
        <v>5720.09</v>
      </c>
      <c r="G301" s="18">
        <v>1329.87</v>
      </c>
      <c r="H301" s="18">
        <v>12955.96</v>
      </c>
      <c r="I301" s="18">
        <v>1039.5</v>
      </c>
      <c r="J301" s="18"/>
      <c r="K301" s="18">
        <v>1629.03</v>
      </c>
      <c r="L301" s="19">
        <f t="shared" si="14"/>
        <v>22674.449999999997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>
        <v>3364.75</v>
      </c>
      <c r="J302" s="18"/>
      <c r="K302" s="18"/>
      <c r="L302" s="19">
        <f t="shared" si="14"/>
        <v>3364.75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110281.56999999999</v>
      </c>
      <c r="G309" s="42">
        <f t="shared" si="15"/>
        <v>27578.87</v>
      </c>
      <c r="H309" s="42">
        <f t="shared" si="15"/>
        <v>31055.199999999997</v>
      </c>
      <c r="I309" s="42">
        <f t="shared" si="15"/>
        <v>6193.25</v>
      </c>
      <c r="J309" s="42">
        <f t="shared" si="15"/>
        <v>12632</v>
      </c>
      <c r="K309" s="42">
        <f t="shared" si="15"/>
        <v>1629.03</v>
      </c>
      <c r="L309" s="41">
        <f t="shared" si="15"/>
        <v>189369.91999999998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>
        <v>28024.42</v>
      </c>
      <c r="G314" s="18">
        <v>14649.12</v>
      </c>
      <c r="H314" s="18">
        <v>20836.48</v>
      </c>
      <c r="I314" s="18">
        <v>3553.23</v>
      </c>
      <c r="J314" s="18">
        <v>25089.02</v>
      </c>
      <c r="K314" s="18"/>
      <c r="L314" s="19">
        <f>SUM(F314:K314)</f>
        <v>92152.27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>
        <v>148318.21</v>
      </c>
      <c r="G315" s="18">
        <v>32127.83</v>
      </c>
      <c r="H315" s="18">
        <v>15111.26</v>
      </c>
      <c r="I315" s="18"/>
      <c r="J315" s="18"/>
      <c r="K315" s="18"/>
      <c r="L315" s="19">
        <f>SUM(F315:K315)</f>
        <v>195557.3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>
        <v>4431</v>
      </c>
      <c r="G317" s="18">
        <v>354</v>
      </c>
      <c r="H317" s="18">
        <v>16157.25</v>
      </c>
      <c r="I317" s="18"/>
      <c r="J317" s="18"/>
      <c r="K317" s="18">
        <v>190</v>
      </c>
      <c r="L317" s="19">
        <f>SUM(F317:K317)</f>
        <v>21132.25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>
        <v>11360.94</v>
      </c>
      <c r="G320" s="18">
        <v>2641.31</v>
      </c>
      <c r="H320" s="18">
        <v>29010.880000000001</v>
      </c>
      <c r="I320" s="18">
        <v>2064.6</v>
      </c>
      <c r="J320" s="18"/>
      <c r="K320" s="18">
        <v>3235.49</v>
      </c>
      <c r="L320" s="19">
        <f t="shared" si="16"/>
        <v>48313.22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>
        <v>6682.88</v>
      </c>
      <c r="I321" s="18"/>
      <c r="J321" s="18"/>
      <c r="K321" s="18"/>
      <c r="L321" s="19">
        <f t="shared" si="16"/>
        <v>6682.88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>
        <v>3999.76</v>
      </c>
      <c r="I322" s="18"/>
      <c r="J322" s="18"/>
      <c r="K322" s="18"/>
      <c r="L322" s="19">
        <f t="shared" si="16"/>
        <v>3999.76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192134.57</v>
      </c>
      <c r="G328" s="42">
        <f t="shared" si="17"/>
        <v>49772.26</v>
      </c>
      <c r="H328" s="42">
        <f t="shared" si="17"/>
        <v>91798.51</v>
      </c>
      <c r="I328" s="42">
        <f t="shared" si="17"/>
        <v>5617.83</v>
      </c>
      <c r="J328" s="42">
        <f t="shared" si="17"/>
        <v>25089.02</v>
      </c>
      <c r="K328" s="42">
        <f t="shared" si="17"/>
        <v>3425.49</v>
      </c>
      <c r="L328" s="41">
        <f t="shared" si="17"/>
        <v>367837.68000000005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536296.9</v>
      </c>
      <c r="G338" s="41">
        <f t="shared" si="20"/>
        <v>131509.57</v>
      </c>
      <c r="H338" s="41">
        <f t="shared" si="20"/>
        <v>175056.08000000002</v>
      </c>
      <c r="I338" s="41">
        <f t="shared" si="20"/>
        <v>18464.559999999998</v>
      </c>
      <c r="J338" s="41">
        <f t="shared" si="20"/>
        <v>62846</v>
      </c>
      <c r="K338" s="41">
        <f t="shared" si="20"/>
        <v>7242.07</v>
      </c>
      <c r="L338" s="41">
        <f t="shared" si="20"/>
        <v>931415.18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536296.9</v>
      </c>
      <c r="G352" s="41">
        <f>G338</f>
        <v>131509.57</v>
      </c>
      <c r="H352" s="41">
        <f>H338</f>
        <v>175056.08000000002</v>
      </c>
      <c r="I352" s="41">
        <f>I338</f>
        <v>18464.559999999998</v>
      </c>
      <c r="J352" s="41">
        <f>J338</f>
        <v>62846</v>
      </c>
      <c r="K352" s="47">
        <f>K338+K351</f>
        <v>7242.07</v>
      </c>
      <c r="L352" s="41">
        <f>L338+L351</f>
        <v>931415.18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/>
      <c r="G358" s="18"/>
      <c r="H358" s="18">
        <f>5921.71+206284.36</f>
        <v>212206.06999999998</v>
      </c>
      <c r="I358" s="18">
        <f>47.44+1153.94</f>
        <v>1201.3800000000001</v>
      </c>
      <c r="J358" s="18"/>
      <c r="K358" s="18"/>
      <c r="L358" s="13">
        <f>SUM(F358:K358)</f>
        <v>213407.44999999998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>
        <f>3356.41+116921.65</f>
        <v>120278.06</v>
      </c>
      <c r="I359" s="18">
        <f>26.89+654.05</f>
        <v>680.93999999999994</v>
      </c>
      <c r="J359" s="18"/>
      <c r="K359" s="18"/>
      <c r="L359" s="19">
        <f>SUM(F359:K359)</f>
        <v>120959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>
        <f>6325.85+220362.79</f>
        <v>226688.64000000001</v>
      </c>
      <c r="I360" s="18">
        <f>50.67+1232.7</f>
        <v>1283.3700000000001</v>
      </c>
      <c r="J360" s="18"/>
      <c r="K360" s="18"/>
      <c r="L360" s="19">
        <f>SUM(F360:K360)</f>
        <v>227972.01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559172.77</v>
      </c>
      <c r="I362" s="47">
        <f t="shared" si="22"/>
        <v>3165.6900000000005</v>
      </c>
      <c r="J362" s="47">
        <f t="shared" si="22"/>
        <v>0</v>
      </c>
      <c r="K362" s="47">
        <f t="shared" si="22"/>
        <v>0</v>
      </c>
      <c r="L362" s="47">
        <f t="shared" si="22"/>
        <v>562338.46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/>
      <c r="G367" s="18"/>
      <c r="H367" s="18"/>
      <c r="I367" s="56">
        <f>SUM(F367:H367)</f>
        <v>0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f>I358</f>
        <v>1201.3800000000001</v>
      </c>
      <c r="G368" s="63">
        <f>I359</f>
        <v>680.93999999999994</v>
      </c>
      <c r="H368" s="63">
        <f>I360</f>
        <v>1283.3700000000001</v>
      </c>
      <c r="I368" s="56">
        <f>SUM(F368:H368)</f>
        <v>3165.6900000000005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1201.3800000000001</v>
      </c>
      <c r="G369" s="47">
        <f>SUM(G367:G368)</f>
        <v>680.93999999999994</v>
      </c>
      <c r="H369" s="47">
        <f>SUM(H367:H368)</f>
        <v>1283.3700000000001</v>
      </c>
      <c r="I369" s="47">
        <f>SUM(I367:I368)</f>
        <v>3165.6900000000005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>
        <v>2035.19</v>
      </c>
      <c r="I396" s="18"/>
      <c r="J396" s="24" t="s">
        <v>286</v>
      </c>
      <c r="K396" s="24" t="s">
        <v>286</v>
      </c>
      <c r="L396" s="56">
        <f t="shared" si="26"/>
        <v>2035.19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>
        <v>3024.21</v>
      </c>
      <c r="I397" s="18"/>
      <c r="J397" s="24" t="s">
        <v>286</v>
      </c>
      <c r="K397" s="24" t="s">
        <v>286</v>
      </c>
      <c r="L397" s="56">
        <f t="shared" si="26"/>
        <v>3024.21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5059.3999999999996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5059.3999999999996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5059.3999999999996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5059.3999999999996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>
        <v>156207.41</v>
      </c>
      <c r="G439" s="18">
        <v>232119.06</v>
      </c>
      <c r="H439" s="18"/>
      <c r="I439" s="56">
        <f t="shared" ref="I439:I445" si="33">SUM(F439:H439)</f>
        <v>388326.47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156207.41</v>
      </c>
      <c r="G446" s="13">
        <f>SUM(G439:G445)</f>
        <v>232119.06</v>
      </c>
      <c r="H446" s="13">
        <f>SUM(H439:H445)</f>
        <v>0</v>
      </c>
      <c r="I446" s="13">
        <f>SUM(I439:I445)</f>
        <v>388326.47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f>F446</f>
        <v>156207.41</v>
      </c>
      <c r="G459" s="18">
        <f>G446</f>
        <v>232119.06</v>
      </c>
      <c r="H459" s="18"/>
      <c r="I459" s="56">
        <f t="shared" si="34"/>
        <v>388326.47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156207.41</v>
      </c>
      <c r="G460" s="83">
        <f>SUM(G454:G459)</f>
        <v>232119.06</v>
      </c>
      <c r="H460" s="83">
        <f>SUM(H454:H459)</f>
        <v>0</v>
      </c>
      <c r="I460" s="83">
        <f>SUM(I454:I459)</f>
        <v>388326.47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156207.41</v>
      </c>
      <c r="G461" s="42">
        <f>G452+G460</f>
        <v>232119.06</v>
      </c>
      <c r="H461" s="42">
        <f>H452+H460</f>
        <v>0</v>
      </c>
      <c r="I461" s="42">
        <f>I452+I460</f>
        <v>388326.47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f>1549624.82-32720.78</f>
        <v>1516904.04</v>
      </c>
      <c r="G465" s="18">
        <v>50713.81</v>
      </c>
      <c r="H465" s="18">
        <f>301270.89-4800</f>
        <v>296470.89</v>
      </c>
      <c r="I465" s="18">
        <v>0</v>
      </c>
      <c r="J465" s="18">
        <v>383267.07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275">
        <f>F193</f>
        <v>32661008.350000001</v>
      </c>
      <c r="G468" s="275">
        <f t="shared" ref="G468:J468" si="35">G193</f>
        <v>557517.31999999995</v>
      </c>
      <c r="H468" s="275">
        <f t="shared" si="35"/>
        <v>869537.07000000007</v>
      </c>
      <c r="I468" s="275">
        <f t="shared" si="35"/>
        <v>0</v>
      </c>
      <c r="J468" s="275">
        <f t="shared" si="35"/>
        <v>5059.3999999999996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>
        <v>43458.44</v>
      </c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32661008.350000001</v>
      </c>
      <c r="G470" s="53">
        <f>SUM(G468:G469)</f>
        <v>557517.31999999995</v>
      </c>
      <c r="H470" s="53">
        <f>SUM(H468:H469)</f>
        <v>912995.51</v>
      </c>
      <c r="I470" s="53">
        <f>SUM(I468:I469)</f>
        <v>0</v>
      </c>
      <c r="J470" s="53">
        <f>SUM(J468:J469)</f>
        <v>5059.3999999999996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f>L271</f>
        <v>32303566.830000002</v>
      </c>
      <c r="G472" s="275">
        <f>L362</f>
        <v>562338.46</v>
      </c>
      <c r="H472" s="275">
        <f>L352</f>
        <v>931415.18</v>
      </c>
      <c r="I472" s="275"/>
      <c r="J472" s="275"/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32303566.830000002</v>
      </c>
      <c r="G474" s="53">
        <f>SUM(G472:G473)</f>
        <v>562338.46</v>
      </c>
      <c r="H474" s="53">
        <f>SUM(H472:H473)</f>
        <v>931415.18</v>
      </c>
      <c r="I474" s="53">
        <f>SUM(I472:I473)</f>
        <v>0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1874345.5599999987</v>
      </c>
      <c r="G476" s="53">
        <f>(G465+G470)- G474</f>
        <v>45892.669999999925</v>
      </c>
      <c r="H476" s="53">
        <f>(H465+H470)- H474</f>
        <v>278051.21999999986</v>
      </c>
      <c r="I476" s="53">
        <f>(I465+I470)- I474</f>
        <v>0</v>
      </c>
      <c r="J476" s="53">
        <f>(J465+J470)- J474</f>
        <v>388326.47000000003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20</v>
      </c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914</v>
      </c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915</v>
      </c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29770200</v>
      </c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4.54</v>
      </c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8317839.4400000004</v>
      </c>
      <c r="G495" s="18"/>
      <c r="H495" s="18"/>
      <c r="I495" s="18"/>
      <c r="J495" s="18"/>
      <c r="K495" s="53">
        <f>SUM(F495:J495)</f>
        <v>8317839.4400000004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>
        <v>0</v>
      </c>
      <c r="G496" s="18"/>
      <c r="H496" s="18"/>
      <c r="I496" s="18"/>
      <c r="J496" s="18"/>
      <c r="K496" s="53">
        <f t="shared" ref="K496:K503" si="36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f>K260</f>
        <v>1225784.6200000001</v>
      </c>
      <c r="G497" s="18"/>
      <c r="H497" s="18"/>
      <c r="I497" s="18"/>
      <c r="J497" s="18"/>
      <c r="K497" s="53">
        <f t="shared" si="36"/>
        <v>1225784.6200000001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f>F495+F496-F497</f>
        <v>7092054.8200000003</v>
      </c>
      <c r="G498" s="204"/>
      <c r="H498" s="204"/>
      <c r="I498" s="204"/>
      <c r="J498" s="204"/>
      <c r="K498" s="205">
        <f t="shared" si="36"/>
        <v>7092054.8200000003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9035559.9299999997</v>
      </c>
      <c r="G499" s="18"/>
      <c r="H499" s="18"/>
      <c r="I499" s="18"/>
      <c r="J499" s="18"/>
      <c r="K499" s="53">
        <f t="shared" si="36"/>
        <v>9035559.9299999997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16127614.75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6"/>
        <v>16127614.75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6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6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6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f>F198+F277-F562-F567</f>
        <v>1308277.7300000002</v>
      </c>
      <c r="G521" s="18">
        <f t="shared" ref="G521:J521" si="37">G198+G277-G562-G567</f>
        <v>778300.19</v>
      </c>
      <c r="H521" s="18">
        <f t="shared" si="37"/>
        <v>329626.46000000002</v>
      </c>
      <c r="I521" s="18">
        <f t="shared" si="37"/>
        <v>7619.39</v>
      </c>
      <c r="J521" s="18">
        <f t="shared" si="37"/>
        <v>427.44</v>
      </c>
      <c r="K521" s="18"/>
      <c r="L521" s="88">
        <f>SUM(F521:K521)</f>
        <v>2424251.2100000004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>
        <f>F216+F296-F563-F568</f>
        <v>547484.83000000007</v>
      </c>
      <c r="G522" s="18">
        <f t="shared" ref="G522:J522" si="38">G216+G296-G563-G568</f>
        <v>339683.03</v>
      </c>
      <c r="H522" s="18">
        <f t="shared" si="38"/>
        <v>264177.77</v>
      </c>
      <c r="I522" s="18">
        <f t="shared" si="38"/>
        <v>4240.7299999999996</v>
      </c>
      <c r="J522" s="18">
        <f t="shared" si="38"/>
        <v>242.27</v>
      </c>
      <c r="K522" s="18"/>
      <c r="L522" s="88">
        <f>SUM(F522:K522)</f>
        <v>1155828.6300000001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f>F234+F315-F564-F569</f>
        <v>905503.23</v>
      </c>
      <c r="G523" s="18">
        <f t="shared" ref="G523:J523" si="39">G234+G315-G564-G569</f>
        <v>465457.68000000005</v>
      </c>
      <c r="H523" s="18">
        <f t="shared" si="39"/>
        <v>311485.52</v>
      </c>
      <c r="I523" s="18">
        <f t="shared" si="39"/>
        <v>9459.48</v>
      </c>
      <c r="J523" s="18">
        <f t="shared" si="39"/>
        <v>736.85</v>
      </c>
      <c r="K523" s="18"/>
      <c r="L523" s="88">
        <f>SUM(F523:K523)</f>
        <v>1692642.7600000002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2761265.79</v>
      </c>
      <c r="G524" s="108">
        <f t="shared" ref="G524:L524" si="40">SUM(G521:G523)</f>
        <v>1583440.9</v>
      </c>
      <c r="H524" s="108">
        <f t="shared" si="40"/>
        <v>905289.75</v>
      </c>
      <c r="I524" s="108">
        <f t="shared" si="40"/>
        <v>21319.599999999999</v>
      </c>
      <c r="J524" s="108">
        <f t="shared" si="40"/>
        <v>1406.56</v>
      </c>
      <c r="K524" s="108">
        <f t="shared" si="40"/>
        <v>0</v>
      </c>
      <c r="L524" s="89">
        <f t="shared" si="40"/>
        <v>5272722.6000000015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297327.49</v>
      </c>
      <c r="G526" s="18">
        <v>155488.03</v>
      </c>
      <c r="H526" s="18">
        <v>333315.42</v>
      </c>
      <c r="I526" s="18"/>
      <c r="J526" s="18"/>
      <c r="K526" s="18"/>
      <c r="L526" s="88">
        <f>SUM(F526:K526)</f>
        <v>786130.94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>
        <v>66553.600000000006</v>
      </c>
      <c r="G527" s="18">
        <v>42722.78</v>
      </c>
      <c r="H527" s="18">
        <v>102621.45</v>
      </c>
      <c r="I527" s="18"/>
      <c r="J527" s="18"/>
      <c r="K527" s="18">
        <v>500</v>
      </c>
      <c r="L527" s="88">
        <f>SUM(F527:K527)</f>
        <v>212397.83000000002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>
        <v>70780.399999999994</v>
      </c>
      <c r="G528" s="18">
        <v>43847.74</v>
      </c>
      <c r="H528" s="18">
        <v>55252.52</v>
      </c>
      <c r="I528" s="18"/>
      <c r="J528" s="18"/>
      <c r="K528" s="18"/>
      <c r="L528" s="88">
        <f>SUM(F528:K528)</f>
        <v>169880.65999999997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434661.49</v>
      </c>
      <c r="G529" s="89">
        <f t="shared" ref="G529:L529" si="41">SUM(G526:G528)</f>
        <v>242058.55</v>
      </c>
      <c r="H529" s="89">
        <f t="shared" si="41"/>
        <v>491189.39</v>
      </c>
      <c r="I529" s="89">
        <f t="shared" si="41"/>
        <v>0</v>
      </c>
      <c r="J529" s="89">
        <f t="shared" si="41"/>
        <v>0</v>
      </c>
      <c r="K529" s="89">
        <f t="shared" si="41"/>
        <v>500</v>
      </c>
      <c r="L529" s="89">
        <f t="shared" si="41"/>
        <v>1168409.43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80124.94</v>
      </c>
      <c r="G531" s="18">
        <v>30547.75</v>
      </c>
      <c r="H531" s="18">
        <v>3049.05</v>
      </c>
      <c r="I531" s="18">
        <v>2537.5100000000002</v>
      </c>
      <c r="J531" s="18"/>
      <c r="K531" s="18">
        <v>816.87</v>
      </c>
      <c r="L531" s="88">
        <f>SUM(F531:K531)</f>
        <v>117076.12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>
        <v>45414.69</v>
      </c>
      <c r="G532" s="18">
        <v>17314.419999999998</v>
      </c>
      <c r="H532" s="18">
        <v>1728.2</v>
      </c>
      <c r="I532" s="18">
        <v>1438.26</v>
      </c>
      <c r="J532" s="18"/>
      <c r="K532" s="18">
        <v>463</v>
      </c>
      <c r="L532" s="88">
        <f>SUM(F532:K532)</f>
        <v>66358.569999999992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v>85593.279999999999</v>
      </c>
      <c r="G533" s="18">
        <v>32632.57</v>
      </c>
      <c r="H533" s="18">
        <v>3257.14</v>
      </c>
      <c r="I533" s="18">
        <v>2710.68</v>
      </c>
      <c r="J533" s="18"/>
      <c r="K533" s="18">
        <v>872.63</v>
      </c>
      <c r="L533" s="88">
        <f>SUM(F533:K533)</f>
        <v>125066.3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211132.91</v>
      </c>
      <c r="G534" s="89">
        <f t="shared" ref="G534:L534" si="42">SUM(G531:G533)</f>
        <v>80494.739999999991</v>
      </c>
      <c r="H534" s="89">
        <f t="shared" si="42"/>
        <v>8034.3899999999994</v>
      </c>
      <c r="I534" s="89">
        <f t="shared" si="42"/>
        <v>6686.4500000000007</v>
      </c>
      <c r="J534" s="89">
        <f t="shared" si="42"/>
        <v>0</v>
      </c>
      <c r="K534" s="89">
        <f t="shared" si="42"/>
        <v>2152.5</v>
      </c>
      <c r="L534" s="89">
        <f t="shared" si="42"/>
        <v>308500.99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>
        <v>8454.15</v>
      </c>
      <c r="I536" s="18"/>
      <c r="J536" s="18"/>
      <c r="K536" s="18"/>
      <c r="L536" s="88">
        <f>SUM(F536:K536)</f>
        <v>8454.15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>
        <v>4791.8</v>
      </c>
      <c r="I537" s="18"/>
      <c r="J537" s="18"/>
      <c r="K537" s="18"/>
      <c r="L537" s="88">
        <f>SUM(F537:K537)</f>
        <v>4791.8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>
        <v>9031.1299999999992</v>
      </c>
      <c r="I538" s="18"/>
      <c r="J538" s="18"/>
      <c r="K538" s="18"/>
      <c r="L538" s="88">
        <f>SUM(F538:K538)</f>
        <v>9031.1299999999992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43">SUM(G536:G538)</f>
        <v>0</v>
      </c>
      <c r="H539" s="89">
        <f t="shared" si="43"/>
        <v>22277.08</v>
      </c>
      <c r="I539" s="89">
        <f t="shared" si="43"/>
        <v>0</v>
      </c>
      <c r="J539" s="89">
        <f t="shared" si="43"/>
        <v>0</v>
      </c>
      <c r="K539" s="89">
        <f t="shared" si="43"/>
        <v>0</v>
      </c>
      <c r="L539" s="89">
        <f t="shared" si="43"/>
        <v>22277.08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162265.19</v>
      </c>
      <c r="I541" s="18"/>
      <c r="J541" s="18"/>
      <c r="K541" s="18"/>
      <c r="L541" s="88">
        <f>SUM(F541:K541)</f>
        <v>162265.19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>
        <v>91830.74</v>
      </c>
      <c r="I542" s="18"/>
      <c r="J542" s="18"/>
      <c r="K542" s="18"/>
      <c r="L542" s="88">
        <f>SUM(F542:K542)</f>
        <v>91830.74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50822.29</v>
      </c>
      <c r="I543" s="18"/>
      <c r="J543" s="18"/>
      <c r="K543" s="18"/>
      <c r="L543" s="88">
        <f>SUM(F543:K543)</f>
        <v>50822.29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4">SUM(G541:G543)</f>
        <v>0</v>
      </c>
      <c r="H544" s="193">
        <f t="shared" si="44"/>
        <v>304918.21999999997</v>
      </c>
      <c r="I544" s="193">
        <f t="shared" si="44"/>
        <v>0</v>
      </c>
      <c r="J544" s="193">
        <f t="shared" si="44"/>
        <v>0</v>
      </c>
      <c r="K544" s="193">
        <f t="shared" si="44"/>
        <v>0</v>
      </c>
      <c r="L544" s="193">
        <f t="shared" si="44"/>
        <v>304918.21999999997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3407060.1900000004</v>
      </c>
      <c r="G545" s="89">
        <f t="shared" ref="G545:L545" si="45">G524+G529+G534+G539+G544</f>
        <v>1905994.19</v>
      </c>
      <c r="H545" s="89">
        <f t="shared" si="45"/>
        <v>1731708.83</v>
      </c>
      <c r="I545" s="89">
        <f t="shared" si="45"/>
        <v>28006.05</v>
      </c>
      <c r="J545" s="89">
        <f t="shared" si="45"/>
        <v>1406.56</v>
      </c>
      <c r="K545" s="89">
        <f t="shared" si="45"/>
        <v>2652.5</v>
      </c>
      <c r="L545" s="89">
        <f t="shared" si="45"/>
        <v>7076828.3200000012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2424251.2100000004</v>
      </c>
      <c r="G549" s="87">
        <f>L526</f>
        <v>786130.94</v>
      </c>
      <c r="H549" s="87">
        <f>L531</f>
        <v>117076.12</v>
      </c>
      <c r="I549" s="87">
        <f>L536</f>
        <v>8454.15</v>
      </c>
      <c r="J549" s="87">
        <f>L541</f>
        <v>162265.19</v>
      </c>
      <c r="K549" s="87">
        <f>SUM(F549:J549)</f>
        <v>3498177.6100000003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1155828.6300000001</v>
      </c>
      <c r="G550" s="87">
        <f>L527</f>
        <v>212397.83000000002</v>
      </c>
      <c r="H550" s="87">
        <f>L532</f>
        <v>66358.569999999992</v>
      </c>
      <c r="I550" s="87">
        <f>L537</f>
        <v>4791.8</v>
      </c>
      <c r="J550" s="87">
        <f>L542</f>
        <v>91830.74</v>
      </c>
      <c r="K550" s="87">
        <f>SUM(F550:J550)</f>
        <v>1531207.5700000003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1692642.7600000002</v>
      </c>
      <c r="G551" s="87">
        <f>L528</f>
        <v>169880.65999999997</v>
      </c>
      <c r="H551" s="87">
        <f>L533</f>
        <v>125066.3</v>
      </c>
      <c r="I551" s="87">
        <f>L538</f>
        <v>9031.1299999999992</v>
      </c>
      <c r="J551" s="87">
        <f>L543</f>
        <v>50822.29</v>
      </c>
      <c r="K551" s="87">
        <f>SUM(F551:J551)</f>
        <v>2047443.1400000001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6">SUM(F549:F551)</f>
        <v>5272722.6000000015</v>
      </c>
      <c r="G552" s="89">
        <f t="shared" si="46"/>
        <v>1168409.43</v>
      </c>
      <c r="H552" s="89">
        <f t="shared" si="46"/>
        <v>308500.99</v>
      </c>
      <c r="I552" s="89">
        <f t="shared" si="46"/>
        <v>22277.08</v>
      </c>
      <c r="J552" s="89">
        <f t="shared" si="46"/>
        <v>304918.21999999997</v>
      </c>
      <c r="K552" s="89">
        <f t="shared" si="46"/>
        <v>7076828.3200000003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7">SUM(F557:F559)</f>
        <v>0</v>
      </c>
      <c r="G560" s="108">
        <f t="shared" si="47"/>
        <v>0</v>
      </c>
      <c r="H560" s="108">
        <f t="shared" si="47"/>
        <v>0</v>
      </c>
      <c r="I560" s="108">
        <f t="shared" si="47"/>
        <v>0</v>
      </c>
      <c r="J560" s="108">
        <f t="shared" si="47"/>
        <v>0</v>
      </c>
      <c r="K560" s="108">
        <f t="shared" si="47"/>
        <v>0</v>
      </c>
      <c r="L560" s="89">
        <f t="shared" si="47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>
        <v>20750.68</v>
      </c>
      <c r="G562" s="18">
        <v>8891.5400000000009</v>
      </c>
      <c r="H562" s="18"/>
      <c r="I562" s="18"/>
      <c r="J562" s="18"/>
      <c r="K562" s="18"/>
      <c r="L562" s="88">
        <f>SUM(F562:K562)</f>
        <v>29642.22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>
        <v>11761.45</v>
      </c>
      <c r="G563" s="18">
        <v>5039.71</v>
      </c>
      <c r="H563" s="18"/>
      <c r="I563" s="18"/>
      <c r="J563" s="18"/>
      <c r="K563" s="18"/>
      <c r="L563" s="88">
        <f>SUM(F563:K563)</f>
        <v>16801.16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>
        <v>22166.87</v>
      </c>
      <c r="G564" s="18">
        <v>9498.36</v>
      </c>
      <c r="H564" s="18"/>
      <c r="I564" s="18"/>
      <c r="J564" s="18"/>
      <c r="K564" s="18"/>
      <c r="L564" s="88">
        <f>SUM(F564:K564)</f>
        <v>31665.23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8">SUM(F562:F564)</f>
        <v>54679</v>
      </c>
      <c r="G565" s="89">
        <f t="shared" si="48"/>
        <v>23429.61</v>
      </c>
      <c r="H565" s="89">
        <f t="shared" si="48"/>
        <v>0</v>
      </c>
      <c r="I565" s="89">
        <f t="shared" si="48"/>
        <v>0</v>
      </c>
      <c r="J565" s="89">
        <f t="shared" si="48"/>
        <v>0</v>
      </c>
      <c r="K565" s="89">
        <f t="shared" si="48"/>
        <v>0</v>
      </c>
      <c r="L565" s="89">
        <f t="shared" si="48"/>
        <v>78108.61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>
        <v>67247</v>
      </c>
      <c r="G567" s="18">
        <v>43012.47</v>
      </c>
      <c r="H567" s="18">
        <v>7664.48</v>
      </c>
      <c r="I567" s="18">
        <v>1396.46</v>
      </c>
      <c r="J567" s="18"/>
      <c r="K567" s="18"/>
      <c r="L567" s="88">
        <f>SUM(F567:K567)</f>
        <v>119320.41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>
        <v>116.76</v>
      </c>
      <c r="J568" s="18"/>
      <c r="K568" s="18"/>
      <c r="L568" s="88">
        <f>SUM(F568:K568)</f>
        <v>116.76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67247</v>
      </c>
      <c r="G570" s="193">
        <f t="shared" ref="G570:L570" si="49">SUM(G567:G569)</f>
        <v>43012.47</v>
      </c>
      <c r="H570" s="193">
        <f t="shared" si="49"/>
        <v>7664.48</v>
      </c>
      <c r="I570" s="193">
        <f t="shared" si="49"/>
        <v>1513.22</v>
      </c>
      <c r="J570" s="193">
        <f t="shared" si="49"/>
        <v>0</v>
      </c>
      <c r="K570" s="193">
        <f t="shared" si="49"/>
        <v>0</v>
      </c>
      <c r="L570" s="193">
        <f t="shared" si="49"/>
        <v>119437.17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121926</v>
      </c>
      <c r="G571" s="89">
        <f t="shared" ref="G571:L571" si="50">G560+G565+G570</f>
        <v>66442.080000000002</v>
      </c>
      <c r="H571" s="89">
        <f t="shared" si="50"/>
        <v>7664.48</v>
      </c>
      <c r="I571" s="89">
        <f t="shared" si="50"/>
        <v>1513.22</v>
      </c>
      <c r="J571" s="89">
        <f t="shared" si="50"/>
        <v>0</v>
      </c>
      <c r="K571" s="89">
        <f t="shared" si="50"/>
        <v>0</v>
      </c>
      <c r="L571" s="89">
        <f t="shared" si="50"/>
        <v>197545.78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>
        <v>1800</v>
      </c>
      <c r="I575" s="87">
        <f>SUM(F575:H575)</f>
        <v>1800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>
        <v>13243</v>
      </c>
      <c r="I576" s="87">
        <f t="shared" ref="I576:I587" si="51">SUM(F576:H576)</f>
        <v>13243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51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51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>
        <v>62169</v>
      </c>
      <c r="I579" s="87">
        <f t="shared" si="51"/>
        <v>62169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>
        <f>92717.23+129221+8850+31831.42</f>
        <v>262619.64999999997</v>
      </c>
      <c r="G580" s="18">
        <f>114219.8+11496</f>
        <v>125715.8</v>
      </c>
      <c r="H580" s="18"/>
      <c r="I580" s="87">
        <f t="shared" si="51"/>
        <v>388335.44999999995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51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9870</v>
      </c>
      <c r="G582" s="18">
        <f>70367.39+8818.88</f>
        <v>79186.27</v>
      </c>
      <c r="H582" s="18">
        <f>177000+8219.88</f>
        <v>185219.88</v>
      </c>
      <c r="I582" s="87">
        <f t="shared" si="51"/>
        <v>274276.15000000002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51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>
        <v>217724.7</v>
      </c>
      <c r="I584" s="87">
        <f t="shared" si="51"/>
        <v>217724.7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51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51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51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f>324246.17+24809.7-9688.64</f>
        <v>339367.23</v>
      </c>
      <c r="I591" s="18">
        <f>183782.21+2827.6+14062.1-5491.5+0.01</f>
        <v>195180.42</v>
      </c>
      <c r="J591" s="18">
        <f>346375.22+26502.91-10349.86-0.01</f>
        <v>362528.25999999995</v>
      </c>
      <c r="K591" s="104">
        <f t="shared" ref="K591:K597" si="52">SUM(H591:J591)</f>
        <v>897075.90999999992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f>160797.36+1467.83</f>
        <v>162265.18999999997</v>
      </c>
      <c r="I592" s="18">
        <f>90998.78+831.96</f>
        <v>91830.74</v>
      </c>
      <c r="J592" s="18">
        <f>49254.28+1568.01</f>
        <v>50822.29</v>
      </c>
      <c r="K592" s="104">
        <f t="shared" si="52"/>
        <v>304918.21999999997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>
        <v>9688.64</v>
      </c>
      <c r="I593" s="18">
        <v>5491.5</v>
      </c>
      <c r="J593" s="18">
        <v>10349.86</v>
      </c>
      <c r="K593" s="104">
        <f t="shared" si="52"/>
        <v>25530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>
        <v>19932.810000000001</v>
      </c>
      <c r="J594" s="18">
        <v>74575.460000000006</v>
      </c>
      <c r="K594" s="104">
        <f t="shared" si="52"/>
        <v>94508.27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/>
      <c r="I595" s="18">
        <v>10950.84</v>
      </c>
      <c r="J595" s="18">
        <f>365.93+9664.01</f>
        <v>10029.94</v>
      </c>
      <c r="K595" s="104">
        <f t="shared" si="52"/>
        <v>20980.78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52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52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511321.05999999994</v>
      </c>
      <c r="I598" s="108">
        <f>SUM(I591:I597)</f>
        <v>323386.31000000006</v>
      </c>
      <c r="J598" s="108">
        <f>SUM(J591:J597)</f>
        <v>508305.80999999994</v>
      </c>
      <c r="K598" s="108">
        <f>SUM(K591:K597)</f>
        <v>1343013.18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103055.62</v>
      </c>
      <c r="I604" s="18">
        <v>54121.599999999999</v>
      </c>
      <c r="J604" s="18">
        <v>194992.57</v>
      </c>
      <c r="K604" s="104">
        <f>SUM(H604:J604)</f>
        <v>352169.79000000004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103055.62</v>
      </c>
      <c r="I605" s="108">
        <f>SUM(I602:I604)</f>
        <v>54121.599999999999</v>
      </c>
      <c r="J605" s="108">
        <f>SUM(J602:J604)</f>
        <v>194992.57</v>
      </c>
      <c r="K605" s="108">
        <f>SUM(K602:K604)</f>
        <v>352169.79000000004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v>15323.16</v>
      </c>
      <c r="G611" s="18">
        <v>3481.45</v>
      </c>
      <c r="H611" s="18">
        <v>40681.42</v>
      </c>
      <c r="I611" s="18"/>
      <c r="J611" s="18"/>
      <c r="K611" s="18"/>
      <c r="L611" s="88">
        <f>SUM(F611:K611)</f>
        <v>59486.03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>
        <v>8685.14</v>
      </c>
      <c r="G612" s="18">
        <v>1973.28</v>
      </c>
      <c r="H612" s="18">
        <v>23764.880000000001</v>
      </c>
      <c r="I612" s="18"/>
      <c r="J612" s="18"/>
      <c r="K612" s="18"/>
      <c r="L612" s="88">
        <f>SUM(F612:K612)</f>
        <v>34423.300000000003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>
        <v>27396.44</v>
      </c>
      <c r="G613" s="18">
        <v>6072.47</v>
      </c>
      <c r="H613" s="18">
        <v>8219.8799999999992</v>
      </c>
      <c r="I613" s="18"/>
      <c r="J613" s="18"/>
      <c r="K613" s="18"/>
      <c r="L613" s="88">
        <f>SUM(F613:K613)</f>
        <v>41688.789999999994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53">SUM(F611:F613)</f>
        <v>51404.74</v>
      </c>
      <c r="G614" s="108">
        <f t="shared" si="53"/>
        <v>11527.2</v>
      </c>
      <c r="H614" s="108">
        <f t="shared" si="53"/>
        <v>72666.180000000008</v>
      </c>
      <c r="I614" s="108">
        <f t="shared" si="53"/>
        <v>0</v>
      </c>
      <c r="J614" s="108">
        <f t="shared" si="53"/>
        <v>0</v>
      </c>
      <c r="K614" s="108">
        <f t="shared" si="53"/>
        <v>0</v>
      </c>
      <c r="L614" s="89">
        <f t="shared" si="53"/>
        <v>135598.12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2409802.54</v>
      </c>
      <c r="H617" s="109">
        <f>SUM(F52)</f>
        <v>2409802.54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57906.37</v>
      </c>
      <c r="H618" s="109">
        <f>SUM(G52)</f>
        <v>57906.369999999923</v>
      </c>
      <c r="I618" s="121" t="s">
        <v>886</v>
      </c>
      <c r="J618" s="109">
        <f>G618-H618</f>
        <v>8.0035533756017685E-11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301267.98</v>
      </c>
      <c r="H619" s="109">
        <f>SUM(H52)</f>
        <v>301267.97999999986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388326.47</v>
      </c>
      <c r="H621" s="109">
        <f>SUM(J52)</f>
        <v>388326.47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1874345.56</v>
      </c>
      <c r="H622" s="109">
        <f>F476</f>
        <v>1874345.5599999987</v>
      </c>
      <c r="I622" s="121" t="s">
        <v>101</v>
      </c>
      <c r="J622" s="109">
        <f t="shared" ref="J622:J655" si="54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45892.669999999925</v>
      </c>
      <c r="H623" s="109">
        <f>G476</f>
        <v>45892.669999999925</v>
      </c>
      <c r="I623" s="121" t="s">
        <v>102</v>
      </c>
      <c r="J623" s="109">
        <f t="shared" si="54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278051.21999999986</v>
      </c>
      <c r="H624" s="109">
        <f>H476</f>
        <v>278051.21999999986</v>
      </c>
      <c r="I624" s="121" t="s">
        <v>103</v>
      </c>
      <c r="J624" s="109">
        <f t="shared" si="54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4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388326.47</v>
      </c>
      <c r="H626" s="109">
        <f>J476</f>
        <v>388326.47000000003</v>
      </c>
      <c r="I626" s="140" t="s">
        <v>105</v>
      </c>
      <c r="J626" s="109">
        <f t="shared" si="54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32661008.350000001</v>
      </c>
      <c r="H627" s="104">
        <f>SUM(F468)</f>
        <v>32661008.350000001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557517.31999999995</v>
      </c>
      <c r="H628" s="104">
        <f>SUM(G468)</f>
        <v>557517.31999999995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869537.07000000007</v>
      </c>
      <c r="H629" s="104">
        <f>SUM(H468)</f>
        <v>869537.07000000007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5059.3999999999996</v>
      </c>
      <c r="H631" s="104">
        <f>SUM(J468)</f>
        <v>5059.3999999999996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32303566.830000002</v>
      </c>
      <c r="H632" s="104">
        <f>SUM(F472)</f>
        <v>32303566.830000002</v>
      </c>
      <c r="I632" s="140" t="s">
        <v>111</v>
      </c>
      <c r="J632" s="109">
        <f t="shared" si="54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931415.18</v>
      </c>
      <c r="H633" s="104">
        <f>SUM(H472)</f>
        <v>931415.18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3165.6900000000005</v>
      </c>
      <c r="H634" s="104">
        <f>I369</f>
        <v>3165.6900000000005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562338.46</v>
      </c>
      <c r="H635" s="104">
        <f>SUM(G472)</f>
        <v>562338.46</v>
      </c>
      <c r="I635" s="140" t="s">
        <v>114</v>
      </c>
      <c r="J635" s="109">
        <f t="shared" si="54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4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5059.3999999999996</v>
      </c>
      <c r="H637" s="164">
        <f>SUM(J468)</f>
        <v>5059.3999999999996</v>
      </c>
      <c r="I637" s="165" t="s">
        <v>110</v>
      </c>
      <c r="J637" s="151">
        <f t="shared" si="54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4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156207.41</v>
      </c>
      <c r="H639" s="104">
        <f>SUM(F461)</f>
        <v>156207.41</v>
      </c>
      <c r="I639" s="140" t="s">
        <v>851</v>
      </c>
      <c r="J639" s="109">
        <f t="shared" si="54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232119.06</v>
      </c>
      <c r="H640" s="104">
        <f>SUM(G461)</f>
        <v>232119.06</v>
      </c>
      <c r="I640" s="140" t="s">
        <v>852</v>
      </c>
      <c r="J640" s="109">
        <f t="shared" si="54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4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388326.47</v>
      </c>
      <c r="H642" s="104">
        <f>SUM(I461)</f>
        <v>388326.47</v>
      </c>
      <c r="I642" s="140" t="s">
        <v>854</v>
      </c>
      <c r="J642" s="109">
        <f t="shared" si="54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4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5059.3999999999996</v>
      </c>
      <c r="H644" s="104">
        <f>H408</f>
        <v>5059.3999999999996</v>
      </c>
      <c r="I644" s="140" t="s">
        <v>478</v>
      </c>
      <c r="J644" s="109">
        <f t="shared" si="54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0</v>
      </c>
      <c r="H645" s="104">
        <f>G408</f>
        <v>0</v>
      </c>
      <c r="I645" s="140" t="s">
        <v>479</v>
      </c>
      <c r="J645" s="109">
        <f t="shared" si="54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5059.3999999999996</v>
      </c>
      <c r="H646" s="104">
        <f>L408</f>
        <v>5059.3999999999996</v>
      </c>
      <c r="I646" s="140" t="s">
        <v>475</v>
      </c>
      <c r="J646" s="109">
        <f t="shared" si="54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1343013.18</v>
      </c>
      <c r="H647" s="104">
        <f>L208+L226+L244</f>
        <v>1343013.18</v>
      </c>
      <c r="I647" s="140" t="s">
        <v>394</v>
      </c>
      <c r="J647" s="109">
        <f t="shared" si="54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352169.79000000004</v>
      </c>
      <c r="H648" s="104">
        <f>(J257+J338)-(J255+J336)</f>
        <v>352169.79000000004</v>
      </c>
      <c r="I648" s="140" t="s">
        <v>697</v>
      </c>
      <c r="J648" s="109">
        <f t="shared" si="54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511321.06</v>
      </c>
      <c r="H649" s="104">
        <f>H598</f>
        <v>511321.05999999994</v>
      </c>
      <c r="I649" s="140" t="s">
        <v>386</v>
      </c>
      <c r="J649" s="109">
        <f t="shared" si="54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323386.31</v>
      </c>
      <c r="H650" s="104">
        <f>I598</f>
        <v>323386.31000000006</v>
      </c>
      <c r="I650" s="140" t="s">
        <v>387</v>
      </c>
      <c r="J650" s="109">
        <f t="shared" si="54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508305.81</v>
      </c>
      <c r="H651" s="104">
        <f>J598</f>
        <v>508305.80999999994</v>
      </c>
      <c r="I651" s="140" t="s">
        <v>388</v>
      </c>
      <c r="J651" s="109">
        <f t="shared" si="54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30000</v>
      </c>
      <c r="H652" s="104">
        <f>K263+K345</f>
        <v>30000</v>
      </c>
      <c r="I652" s="140" t="s">
        <v>395</v>
      </c>
      <c r="J652" s="109">
        <f t="shared" si="54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4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4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0</v>
      </c>
      <c r="H655" s="104">
        <f>K266+K347</f>
        <v>0</v>
      </c>
      <c r="I655" s="140" t="s">
        <v>398</v>
      </c>
      <c r="J655" s="109">
        <f t="shared" si="54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12607544.269999998</v>
      </c>
      <c r="G660" s="19">
        <f>(L229+L309+L359)</f>
        <v>6748120.709999999</v>
      </c>
      <c r="H660" s="19">
        <f>(L247+L328+L360)</f>
        <v>11745912.620000001</v>
      </c>
      <c r="I660" s="19">
        <f>SUM(F660:H660)</f>
        <v>31101577.599999998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148746.04514773184</v>
      </c>
      <c r="G661" s="19">
        <f>(L359/IF(SUM(L358:L360)=0,1,SUM(L358:L360))*(SUM(G97:G110)))</f>
        <v>84309.01955402446</v>
      </c>
      <c r="H661" s="19">
        <f>(L360/IF(SUM(L358:L360)=0,1,SUM(L358:L360))*(SUM(G97:G110)))</f>
        <v>158897.61529824371</v>
      </c>
      <c r="I661" s="19">
        <f>SUM(F661:H661)</f>
        <v>391952.68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511321.06</v>
      </c>
      <c r="G662" s="19">
        <f>(L226+L306)-(J226+J306)</f>
        <v>323386.31</v>
      </c>
      <c r="H662" s="19">
        <f>(L244+L325)-(J244+J325)</f>
        <v>508305.81</v>
      </c>
      <c r="I662" s="19">
        <f>SUM(F662:H662)</f>
        <v>1343013.18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435031.29999999993</v>
      </c>
      <c r="G663" s="199">
        <f>SUM(G575:G587)+SUM(I602:I604)+L612</f>
        <v>293446.97000000003</v>
      </c>
      <c r="H663" s="199">
        <f>SUM(H575:H587)+SUM(J602:J604)+L613</f>
        <v>716837.94000000006</v>
      </c>
      <c r="I663" s="19">
        <f>SUM(F663:H663)</f>
        <v>1445316.21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11512445.864852266</v>
      </c>
      <c r="G664" s="19">
        <f>G660-SUM(G661:G663)</f>
        <v>6046978.4104459742</v>
      </c>
      <c r="H664" s="19">
        <f>H660-SUM(H661:H663)</f>
        <v>10361871.254701758</v>
      </c>
      <c r="I664" s="19">
        <f>I660-SUM(I661:I663)</f>
        <v>27921295.529999997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595</v>
      </c>
      <c r="G665" s="248">
        <v>337.26</v>
      </c>
      <c r="H665" s="248">
        <v>635.58000000000004</v>
      </c>
      <c r="I665" s="19">
        <f>SUM(F665:H665)</f>
        <v>1567.8400000000001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19348.650000000001</v>
      </c>
      <c r="G667" s="19">
        <f>ROUND(G664/G665,2)</f>
        <v>17929.72</v>
      </c>
      <c r="H667" s="19">
        <f>ROUND(H664/H665,2)</f>
        <v>16303.02</v>
      </c>
      <c r="I667" s="19">
        <f>ROUND(I664/I665,2)</f>
        <v>17808.77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-34</v>
      </c>
      <c r="I670" s="19">
        <f>SUM(F670:H670)</f>
        <v>-34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19348.650000000001</v>
      </c>
      <c r="G672" s="19">
        <f>ROUND((G664+G669)/(G665+G670),2)</f>
        <v>17929.72</v>
      </c>
      <c r="H672" s="19">
        <f>ROUND((H664+H669)/(H665+H670),2)</f>
        <v>17224.43</v>
      </c>
      <c r="I672" s="19">
        <f>ROUND((I664+I669)/(I665+I670),2)</f>
        <v>18203.53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J43" sqref="J43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Sanborn Regional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9" t="s">
        <v>778</v>
      </c>
      <c r="B3" s="279"/>
      <c r="C3" s="279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8" t="s">
        <v>777</v>
      </c>
      <c r="C6" s="278"/>
    </row>
    <row r="7" spans="1:3" x14ac:dyDescent="0.2">
      <c r="A7" s="239" t="s">
        <v>780</v>
      </c>
      <c r="B7" s="276" t="s">
        <v>776</v>
      </c>
      <c r="C7" s="277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7897548.2799999993</v>
      </c>
      <c r="C9" s="229">
        <f>'DOE25'!G197+'DOE25'!G215+'DOE25'!G233+'DOE25'!G276+'DOE25'!G295+'DOE25'!G314</f>
        <v>3954474.12</v>
      </c>
    </row>
    <row r="10" spans="1:3" x14ac:dyDescent="0.2">
      <c r="A10" t="s">
        <v>773</v>
      </c>
      <c r="B10" s="240">
        <v>6877400.5499999998</v>
      </c>
      <c r="C10" s="240">
        <v>3443556.06</v>
      </c>
    </row>
    <row r="11" spans="1:3" x14ac:dyDescent="0.2">
      <c r="A11" t="s">
        <v>774</v>
      </c>
      <c r="B11" s="240">
        <v>454675.82</v>
      </c>
      <c r="C11" s="240">
        <v>227777.71</v>
      </c>
    </row>
    <row r="12" spans="1:3" x14ac:dyDescent="0.2">
      <c r="A12" t="s">
        <v>775</v>
      </c>
      <c r="B12" s="240">
        <v>565471.91</v>
      </c>
      <c r="C12" s="240">
        <v>283140.34999999998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7897548.2800000003</v>
      </c>
      <c r="C13" s="231">
        <f>SUM(C10:C12)</f>
        <v>3954474.12</v>
      </c>
    </row>
    <row r="14" spans="1:3" x14ac:dyDescent="0.2">
      <c r="B14" s="230"/>
      <c r="C14" s="230"/>
    </row>
    <row r="15" spans="1:3" x14ac:dyDescent="0.2">
      <c r="B15" s="278" t="s">
        <v>777</v>
      </c>
      <c r="C15" s="278"/>
    </row>
    <row r="16" spans="1:3" x14ac:dyDescent="0.2">
      <c r="A16" s="239" t="s">
        <v>781</v>
      </c>
      <c r="B16" s="276" t="s">
        <v>701</v>
      </c>
      <c r="C16" s="277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2883191.7899999996</v>
      </c>
      <c r="C18" s="229">
        <f>'DOE25'!G198+'DOE25'!G216+'DOE25'!G234+'DOE25'!G277+'DOE25'!G296+'DOE25'!G315</f>
        <v>1649882.98</v>
      </c>
    </row>
    <row r="19" spans="1:3" x14ac:dyDescent="0.2">
      <c r="A19" t="s">
        <v>773</v>
      </c>
      <c r="B19" s="240">
        <v>1588196.2</v>
      </c>
      <c r="C19" s="240">
        <v>908920.53</v>
      </c>
    </row>
    <row r="20" spans="1:3" x14ac:dyDescent="0.2">
      <c r="A20" t="s">
        <v>774</v>
      </c>
      <c r="B20" s="240">
        <v>1164248.0900000001</v>
      </c>
      <c r="C20" s="240">
        <v>666222.75</v>
      </c>
    </row>
    <row r="21" spans="1:3" x14ac:dyDescent="0.2">
      <c r="A21" t="s">
        <v>775</v>
      </c>
      <c r="B21" s="240">
        <v>130747.5</v>
      </c>
      <c r="C21" s="240">
        <v>74739.7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2883191.79</v>
      </c>
      <c r="C22" s="231">
        <f>SUM(C19:C21)</f>
        <v>1649882.98</v>
      </c>
    </row>
    <row r="23" spans="1:3" x14ac:dyDescent="0.2">
      <c r="B23" s="230"/>
      <c r="C23" s="230"/>
    </row>
    <row r="24" spans="1:3" x14ac:dyDescent="0.2">
      <c r="B24" s="278" t="s">
        <v>777</v>
      </c>
      <c r="C24" s="278"/>
    </row>
    <row r="25" spans="1:3" x14ac:dyDescent="0.2">
      <c r="A25" s="239" t="s">
        <v>782</v>
      </c>
      <c r="B25" s="276" t="s">
        <v>702</v>
      </c>
      <c r="C25" s="277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8" t="s">
        <v>777</v>
      </c>
      <c r="C33" s="278"/>
    </row>
    <row r="34" spans="1:3" x14ac:dyDescent="0.2">
      <c r="A34" s="239" t="s">
        <v>783</v>
      </c>
      <c r="B34" s="276" t="s">
        <v>703</v>
      </c>
      <c r="C34" s="277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318678.5</v>
      </c>
      <c r="C36" s="235">
        <f>'DOE25'!G200+'DOE25'!G218+'DOE25'!G236+'DOE25'!G279+'DOE25'!G298+'DOE25'!G317</f>
        <v>90744.760000000009</v>
      </c>
    </row>
    <row r="37" spans="1:3" x14ac:dyDescent="0.2">
      <c r="A37" t="s">
        <v>773</v>
      </c>
      <c r="B37" s="240">
        <v>11027.5</v>
      </c>
      <c r="C37" s="240">
        <v>3139.77</v>
      </c>
    </row>
    <row r="38" spans="1:3" x14ac:dyDescent="0.2">
      <c r="A38" t="s">
        <v>774</v>
      </c>
      <c r="B38" s="240">
        <v>307651</v>
      </c>
      <c r="C38" s="240">
        <v>87604.99</v>
      </c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318678.5</v>
      </c>
      <c r="C40" s="231">
        <f>SUM(C37:C39)</f>
        <v>90744.760000000009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C55" sqref="C55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8" t="s">
        <v>784</v>
      </c>
      <c r="B1" s="283"/>
      <c r="C1" s="283"/>
      <c r="D1" s="283"/>
      <c r="E1" s="283"/>
      <c r="F1" s="283"/>
      <c r="G1" s="283"/>
      <c r="H1" s="283"/>
      <c r="I1" s="181"/>
    </row>
    <row r="2" spans="1:9" x14ac:dyDescent="0.2">
      <c r="A2" s="33" t="s">
        <v>711</v>
      </c>
      <c r="B2" s="265" t="str">
        <f>'DOE25'!A2</f>
        <v>Sanborn Regional School District</v>
      </c>
      <c r="C2" s="181"/>
      <c r="D2" s="181" t="s">
        <v>786</v>
      </c>
      <c r="E2" s="181" t="s">
        <v>788</v>
      </c>
      <c r="F2" s="280" t="s">
        <v>815</v>
      </c>
      <c r="G2" s="281"/>
      <c r="H2" s="282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18172659.829999998</v>
      </c>
      <c r="D5" s="20">
        <f>SUM('DOE25'!L197:L200)+SUM('DOE25'!L215:L218)+SUM('DOE25'!L233:L236)-F5-G5</f>
        <v>17861434.800000001</v>
      </c>
      <c r="E5" s="243"/>
      <c r="F5" s="255">
        <f>SUM('DOE25'!J197:J200)+SUM('DOE25'!J215:J218)+SUM('DOE25'!J233:J236)</f>
        <v>272472.99</v>
      </c>
      <c r="G5" s="53">
        <f>SUM('DOE25'!K197:K200)+SUM('DOE25'!K215:K218)+SUM('DOE25'!K233:K236)</f>
        <v>38752.04</v>
      </c>
      <c r="H5" s="259"/>
    </row>
    <row r="6" spans="1:9" x14ac:dyDescent="0.2">
      <c r="A6" s="32">
        <v>2100</v>
      </c>
      <c r="B6" t="s">
        <v>795</v>
      </c>
      <c r="C6" s="245">
        <f t="shared" si="0"/>
        <v>2563705.8699999996</v>
      </c>
      <c r="D6" s="20">
        <f>'DOE25'!L202+'DOE25'!L220+'DOE25'!L238-F6-G6</f>
        <v>2563001.8699999996</v>
      </c>
      <c r="E6" s="243"/>
      <c r="F6" s="255">
        <f>'DOE25'!J202+'DOE25'!J220+'DOE25'!J238</f>
        <v>0</v>
      </c>
      <c r="G6" s="53">
        <f>'DOE25'!K202+'DOE25'!K220+'DOE25'!K238</f>
        <v>704</v>
      </c>
      <c r="H6" s="259"/>
    </row>
    <row r="7" spans="1:9" x14ac:dyDescent="0.2">
      <c r="A7" s="32">
        <v>2200</v>
      </c>
      <c r="B7" t="s">
        <v>828</v>
      </c>
      <c r="C7" s="245">
        <f t="shared" si="0"/>
        <v>577737.98</v>
      </c>
      <c r="D7" s="20">
        <f>'DOE25'!L203+'DOE25'!L221+'DOE25'!L239-F7-G7</f>
        <v>576851.65</v>
      </c>
      <c r="E7" s="243"/>
      <c r="F7" s="255">
        <f>'DOE25'!J203+'DOE25'!J221+'DOE25'!J239</f>
        <v>886.33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540601.91999999993</v>
      </c>
      <c r="D8" s="243"/>
      <c r="E8" s="20">
        <f>'DOE25'!L204+'DOE25'!L222+'DOE25'!L240-F8-G8-D9-D11</f>
        <v>512082.04</v>
      </c>
      <c r="F8" s="255">
        <f>'DOE25'!J204+'DOE25'!J222+'DOE25'!J240</f>
        <v>0</v>
      </c>
      <c r="G8" s="53">
        <f>'DOE25'!K204+'DOE25'!K222+'DOE25'!K240</f>
        <v>28519.88</v>
      </c>
      <c r="H8" s="259"/>
    </row>
    <row r="9" spans="1:9" x14ac:dyDescent="0.2">
      <c r="A9" s="32">
        <v>2310</v>
      </c>
      <c r="B9" t="s">
        <v>812</v>
      </c>
      <c r="C9" s="245">
        <f t="shared" si="0"/>
        <v>39556.85</v>
      </c>
      <c r="D9" s="244">
        <f>39211.29+345.56</f>
        <v>39556.85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19665</v>
      </c>
      <c r="D10" s="243"/>
      <c r="E10" s="244">
        <v>19665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264986.95</v>
      </c>
      <c r="D11" s="244">
        <v>264986.95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1938528.1600000001</v>
      </c>
      <c r="D12" s="20">
        <f>'DOE25'!L205+'DOE25'!L223+'DOE25'!L241-F12-G12</f>
        <v>1896799.4500000002</v>
      </c>
      <c r="E12" s="243"/>
      <c r="F12" s="255">
        <f>'DOE25'!J205+'DOE25'!J223+'DOE25'!J241</f>
        <v>14850</v>
      </c>
      <c r="G12" s="53">
        <f>'DOE25'!K205+'DOE25'!K223+'DOE25'!K241</f>
        <v>26878.71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394345.21</v>
      </c>
      <c r="D13" s="243"/>
      <c r="E13" s="20">
        <f>'DOE25'!L206+'DOE25'!L224+'DOE25'!L242-F13-G13</f>
        <v>387142.12000000005</v>
      </c>
      <c r="F13" s="255">
        <f>'DOE25'!J206+'DOE25'!J224+'DOE25'!J242</f>
        <v>354.99</v>
      </c>
      <c r="G13" s="53">
        <f>'DOE25'!K206+'DOE25'!K224+'DOE25'!K242</f>
        <v>6848.1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2980876.97</v>
      </c>
      <c r="D14" s="20">
        <f>'DOE25'!L207+'DOE25'!L225+'DOE25'!L243-F14-G14</f>
        <v>2976766.49</v>
      </c>
      <c r="E14" s="243"/>
      <c r="F14" s="255">
        <f>'DOE25'!J207+'DOE25'!J225+'DOE25'!J243</f>
        <v>759.48</v>
      </c>
      <c r="G14" s="53">
        <f>'DOE25'!K207+'DOE25'!K225+'DOE25'!K243</f>
        <v>3351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1343013.18</v>
      </c>
      <c r="D15" s="20">
        <f>'DOE25'!L208+'DOE25'!L226+'DOE25'!L244-F15-G15</f>
        <v>1343013.18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791811.04</v>
      </c>
      <c r="D16" s="243"/>
      <c r="E16" s="20">
        <f>'DOE25'!L209+'DOE25'!L227+'DOE25'!L245-F16-G16</f>
        <v>791811.04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360232.37</v>
      </c>
      <c r="D22" s="243"/>
      <c r="E22" s="243"/>
      <c r="F22" s="255">
        <f>'DOE25'!L255+'DOE25'!L336</f>
        <v>360232.37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2305510.5</v>
      </c>
      <c r="D25" s="243"/>
      <c r="E25" s="243"/>
      <c r="F25" s="258"/>
      <c r="G25" s="256"/>
      <c r="H25" s="257">
        <f>'DOE25'!L260+'DOE25'!L261+'DOE25'!L341+'DOE25'!L342</f>
        <v>2305510.5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562338.46</v>
      </c>
      <c r="D29" s="20">
        <f>'DOE25'!L358+'DOE25'!L359+'DOE25'!L360-'DOE25'!I367-F29-G29</f>
        <v>562338.46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931415.18</v>
      </c>
      <c r="D31" s="20">
        <f>'DOE25'!L290+'DOE25'!L309+'DOE25'!L328+'DOE25'!L333+'DOE25'!L334+'DOE25'!L335-F31-G31</f>
        <v>861327.1100000001</v>
      </c>
      <c r="E31" s="243"/>
      <c r="F31" s="255">
        <f>'DOE25'!J290+'DOE25'!J309+'DOE25'!J328+'DOE25'!J333+'DOE25'!J334+'DOE25'!J335</f>
        <v>62846</v>
      </c>
      <c r="G31" s="53">
        <f>'DOE25'!K290+'DOE25'!K309+'DOE25'!K328+'DOE25'!K333+'DOE25'!K334+'DOE25'!K335</f>
        <v>7242.07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28946076.810000002</v>
      </c>
      <c r="E33" s="246">
        <f>SUM(E5:E31)</f>
        <v>1710700.2000000002</v>
      </c>
      <c r="F33" s="246">
        <f>SUM(F5:F31)</f>
        <v>712402.15999999992</v>
      </c>
      <c r="G33" s="246">
        <f>SUM(G5:G31)</f>
        <v>112295.80000000002</v>
      </c>
      <c r="H33" s="246">
        <f>SUM(H5:H31)</f>
        <v>2305510.5</v>
      </c>
    </row>
    <row r="35" spans="2:8" ht="12" thickBot="1" x14ac:dyDescent="0.25">
      <c r="B35" s="253" t="s">
        <v>841</v>
      </c>
      <c r="D35" s="254">
        <f>E33</f>
        <v>1710700.2000000002</v>
      </c>
      <c r="E35" s="249"/>
    </row>
    <row r="36" spans="2:8" ht="12" thickTop="1" x14ac:dyDescent="0.2">
      <c r="B36" t="s">
        <v>809</v>
      </c>
      <c r="D36" s="20">
        <f>D33</f>
        <v>28946076.810000002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Sanborn Regional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1836295.03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388326.47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39771.54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149101</v>
      </c>
      <c r="D12" s="95">
        <f>'DOE25'!G13</f>
        <v>8900.01</v>
      </c>
      <c r="E12" s="95">
        <f>'DOE25'!H13</f>
        <v>83434.14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366325.76000000001</v>
      </c>
      <c r="D13" s="95">
        <f>'DOE25'!G14</f>
        <v>9234.82</v>
      </c>
      <c r="E13" s="95">
        <f>'DOE25'!H14</f>
        <v>217833.84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58080.75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2409802.54</v>
      </c>
      <c r="D18" s="41">
        <f>SUM(D8:D17)</f>
        <v>57906.37</v>
      </c>
      <c r="E18" s="41">
        <f>SUM(E8:E17)</f>
        <v>301267.98</v>
      </c>
      <c r="F18" s="41">
        <f>SUM(F8:F17)</f>
        <v>0</v>
      </c>
      <c r="G18" s="41">
        <f>SUM(G8:G17)</f>
        <v>388326.47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272306.68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161091.56</v>
      </c>
      <c r="D23" s="95">
        <f>'DOE25'!G24</f>
        <v>0</v>
      </c>
      <c r="E23" s="95">
        <f>'DOE25'!H24</f>
        <v>23216.76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45105.120000000003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3891.01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39276.699999999997</v>
      </c>
      <c r="D29" s="95">
        <f>'DOE25'!G30</f>
        <v>12013.7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13785.91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535456.98</v>
      </c>
      <c r="D31" s="41">
        <f>SUM(D21:D30)</f>
        <v>12013.7</v>
      </c>
      <c r="E31" s="41">
        <f>SUM(E21:E30)</f>
        <v>23216.76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58080.75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45892.669999999925</v>
      </c>
      <c r="E42" s="95">
        <f>'DOE25'!H43</f>
        <v>278051.21999999986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21704.99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388326.47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290076.53999999998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1504483.28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1874345.56</v>
      </c>
      <c r="D50" s="41">
        <f>SUM(D34:D49)</f>
        <v>45892.669999999925</v>
      </c>
      <c r="E50" s="41">
        <f>SUM(E34:E49)</f>
        <v>278051.21999999986</v>
      </c>
      <c r="F50" s="41">
        <f>SUM(F34:F49)</f>
        <v>0</v>
      </c>
      <c r="G50" s="41">
        <f>SUM(G34:G49)</f>
        <v>388326.47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2409802.54</v>
      </c>
      <c r="D51" s="41">
        <f>D50+D31</f>
        <v>57906.369999999923</v>
      </c>
      <c r="E51" s="41">
        <f>E50+E31</f>
        <v>301267.97999999986</v>
      </c>
      <c r="F51" s="41">
        <f>F50+F31</f>
        <v>0</v>
      </c>
      <c r="G51" s="41">
        <f>G50+G31</f>
        <v>388326.47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21714905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3856407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31577.91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5059.3999999999996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391952.68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55462.27</v>
      </c>
      <c r="D61" s="95">
        <f>SUM('DOE25'!G98:G110)</f>
        <v>0</v>
      </c>
      <c r="E61" s="95">
        <f>SUM('DOE25'!H98:H110)</f>
        <v>144260.79999999999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3943447.18</v>
      </c>
      <c r="D62" s="130">
        <f>SUM(D57:D61)</f>
        <v>391952.68</v>
      </c>
      <c r="E62" s="130">
        <f>SUM(E57:E61)</f>
        <v>144260.79999999999</v>
      </c>
      <c r="F62" s="130">
        <f>SUM(F57:F61)</f>
        <v>0</v>
      </c>
      <c r="G62" s="130">
        <f>SUM(G57:G61)</f>
        <v>5059.3999999999996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25658352.18</v>
      </c>
      <c r="D63" s="22">
        <f>D56+D62</f>
        <v>391952.68</v>
      </c>
      <c r="E63" s="22">
        <f>E56+E62</f>
        <v>144260.79999999999</v>
      </c>
      <c r="F63" s="22">
        <f>F56+F62</f>
        <v>0</v>
      </c>
      <c r="G63" s="22">
        <f>G56+G62</f>
        <v>5059.3999999999996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3420930.8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2607797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21213.040000000001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6049940.8399999999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588886.94999999995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214115.29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26134.2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7526.06</v>
      </c>
      <c r="E77" s="95">
        <f>SUM('DOE25'!H131:H135)</f>
        <v>24750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829136.44</v>
      </c>
      <c r="D78" s="130">
        <f>SUM(D72:D77)</f>
        <v>7526.06</v>
      </c>
      <c r="E78" s="130">
        <f>SUM(E72:E77)</f>
        <v>24750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6879077.2799999993</v>
      </c>
      <c r="D81" s="130">
        <f>SUM(D79:D80)+D78+D70</f>
        <v>7526.06</v>
      </c>
      <c r="E81" s="130">
        <f>SUM(E79:E80)+E78+E70</f>
        <v>24750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123578.89</v>
      </c>
      <c r="D88" s="95">
        <f>SUM('DOE25'!G153:G161)</f>
        <v>128038.58</v>
      </c>
      <c r="E88" s="95">
        <f>SUM('DOE25'!H153:H161)</f>
        <v>700526.27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123578.89</v>
      </c>
      <c r="D91" s="131">
        <f>SUM(D85:D90)</f>
        <v>128038.58</v>
      </c>
      <c r="E91" s="131">
        <f>SUM(E85:E90)</f>
        <v>700526.27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30000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30000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759</v>
      </c>
      <c r="C104" s="86">
        <f>C63+C81+C91+C103</f>
        <v>32661008.350000001</v>
      </c>
      <c r="D104" s="86">
        <f>D63+D81+D91+D103</f>
        <v>557517.31999999995</v>
      </c>
      <c r="E104" s="86">
        <f>E63+E81+E91+E103</f>
        <v>869537.07000000007</v>
      </c>
      <c r="F104" s="86">
        <f>F63+F81+F91+F103</f>
        <v>0</v>
      </c>
      <c r="G104" s="86">
        <f>G63+G81+G103</f>
        <v>5059.3999999999996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12334519.390000001</v>
      </c>
      <c r="D109" s="24" t="s">
        <v>286</v>
      </c>
      <c r="E109" s="95">
        <f>('DOE25'!L276)+('DOE25'!L295)+('DOE25'!L314)</f>
        <v>335231.38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5034366.2700000005</v>
      </c>
      <c r="D110" s="24" t="s">
        <v>286</v>
      </c>
      <c r="E110" s="95">
        <f>('DOE25'!L277)+('DOE25'!L296)+('DOE25'!L315)</f>
        <v>435902.11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217724.7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586049.47</v>
      </c>
      <c r="D112" s="24" t="s">
        <v>286</v>
      </c>
      <c r="E112" s="95">
        <f>+('DOE25'!L279)+('DOE25'!L298)+('DOE25'!L317)</f>
        <v>21132.25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18172659.829999998</v>
      </c>
      <c r="D115" s="86">
        <f>SUM(D109:D114)</f>
        <v>0</v>
      </c>
      <c r="E115" s="86">
        <f>SUM(E109:E114)</f>
        <v>792265.74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2563705.8699999996</v>
      </c>
      <c r="D118" s="24" t="s">
        <v>286</v>
      </c>
      <c r="E118" s="95">
        <f>+('DOE25'!L281)+('DOE25'!L300)+('DOE25'!L319)</f>
        <v>13166.16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577737.98</v>
      </c>
      <c r="D119" s="24" t="s">
        <v>286</v>
      </c>
      <c r="E119" s="95">
        <f>+('DOE25'!L282)+('DOE25'!L301)+('DOE25'!L320)</f>
        <v>107417.52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845145.72</v>
      </c>
      <c r="D120" s="24" t="s">
        <v>286</v>
      </c>
      <c r="E120" s="95">
        <f>+('DOE25'!L283)+('DOE25'!L302)+('DOE25'!L321)</f>
        <v>14566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1938528.1600000001</v>
      </c>
      <c r="D121" s="24" t="s">
        <v>286</v>
      </c>
      <c r="E121" s="95">
        <f>+('DOE25'!L284)+('DOE25'!L303)+('DOE25'!L322)</f>
        <v>3999.76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394345.21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2980876.97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1343013.18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791811.04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562338.46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11435164.129999999</v>
      </c>
      <c r="D128" s="86">
        <f>SUM(D118:D127)</f>
        <v>562338.46</v>
      </c>
      <c r="E128" s="86">
        <f>SUM(E118:E127)</f>
        <v>139149.44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360232.37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1225784.6200000001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1079725.8799999999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30000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5059.3999999999996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-5059.3999999999996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2695742.87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32303566.829999998</v>
      </c>
      <c r="D145" s="86">
        <f>(D115+D128+D144)</f>
        <v>562338.46</v>
      </c>
      <c r="E145" s="86">
        <f>(E115+E128+E144)</f>
        <v>931415.17999999993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08/04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08/24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29770200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4.54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8317839.4400000004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8317839.4400000004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1225784.6200000001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1225784.6200000001</v>
      </c>
    </row>
    <row r="159" spans="1:9" x14ac:dyDescent="0.2">
      <c r="A159" s="22" t="s">
        <v>35</v>
      </c>
      <c r="B159" s="137">
        <f>'DOE25'!F498</f>
        <v>7092054.8200000003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7092054.8200000003</v>
      </c>
    </row>
    <row r="160" spans="1:9" x14ac:dyDescent="0.2">
      <c r="A160" s="22" t="s">
        <v>36</v>
      </c>
      <c r="B160" s="137">
        <f>'DOE25'!F499</f>
        <v>9035559.9299999997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9035559.9299999997</v>
      </c>
    </row>
    <row r="161" spans="1:7" x14ac:dyDescent="0.2">
      <c r="A161" s="22" t="s">
        <v>37</v>
      </c>
      <c r="B161" s="137">
        <f>'DOE25'!F500</f>
        <v>16127614.75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16127614.75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4" t="s">
        <v>734</v>
      </c>
      <c r="B1" s="284"/>
      <c r="C1" s="284"/>
      <c r="D1" s="284"/>
    </row>
    <row r="2" spans="1:4" x14ac:dyDescent="0.2">
      <c r="A2" s="187" t="s">
        <v>711</v>
      </c>
      <c r="B2" s="186" t="str">
        <f>'DOE25'!A2</f>
        <v>Sanborn Regional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19349</v>
      </c>
    </row>
    <row r="5" spans="1:4" x14ac:dyDescent="0.2">
      <c r="B5" t="s">
        <v>698</v>
      </c>
      <c r="C5" s="179">
        <f>IF('DOE25'!G665+'DOE25'!G670=0,0,ROUND('DOE25'!G672,0))</f>
        <v>17930</v>
      </c>
    </row>
    <row r="6" spans="1:4" x14ac:dyDescent="0.2">
      <c r="B6" t="s">
        <v>62</v>
      </c>
      <c r="C6" s="179">
        <f>IF('DOE25'!H665+'DOE25'!H670=0,0,ROUND('DOE25'!H672,0))</f>
        <v>17224</v>
      </c>
    </row>
    <row r="7" spans="1:4" x14ac:dyDescent="0.2">
      <c r="B7" t="s">
        <v>699</v>
      </c>
      <c r="C7" s="179">
        <f>IF('DOE25'!I665+'DOE25'!I670=0,0,ROUND('DOE25'!I672,0))</f>
        <v>18204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12669751</v>
      </c>
      <c r="D10" s="182">
        <f>ROUND((C10/$C$28)*100,1)</f>
        <v>39.9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5470268</v>
      </c>
      <c r="D11" s="182">
        <f>ROUND((C11/$C$28)*100,1)</f>
        <v>17.2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217725</v>
      </c>
      <c r="D12" s="182">
        <f>ROUND((C12/$C$28)*100,1)</f>
        <v>0.7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607182</v>
      </c>
      <c r="D13" s="182">
        <f>ROUND((C13/$C$28)*100,1)</f>
        <v>1.9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2576872</v>
      </c>
      <c r="D15" s="182">
        <f t="shared" ref="D15:D27" si="0">ROUND((C15/$C$28)*100,1)</f>
        <v>8.1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685156</v>
      </c>
      <c r="D16" s="182">
        <f t="shared" si="0"/>
        <v>2.2000000000000002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1651523</v>
      </c>
      <c r="D17" s="182">
        <f t="shared" si="0"/>
        <v>5.2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1942528</v>
      </c>
      <c r="D18" s="182">
        <f t="shared" si="0"/>
        <v>6.1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394345</v>
      </c>
      <c r="D19" s="182">
        <f t="shared" si="0"/>
        <v>1.2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2980877</v>
      </c>
      <c r="D20" s="182">
        <f t="shared" si="0"/>
        <v>9.4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1343013</v>
      </c>
      <c r="D21" s="182">
        <f t="shared" si="0"/>
        <v>4.2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1079726</v>
      </c>
      <c r="D25" s="182">
        <f t="shared" si="0"/>
        <v>3.4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170385.32</v>
      </c>
      <c r="D27" s="182">
        <f t="shared" si="0"/>
        <v>0.5</v>
      </c>
    </row>
    <row r="28" spans="1:4" x14ac:dyDescent="0.2">
      <c r="B28" s="187" t="s">
        <v>717</v>
      </c>
      <c r="C28" s="180">
        <f>SUM(C10:C27)</f>
        <v>31789351.32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360232</v>
      </c>
    </row>
    <row r="30" spans="1:4" x14ac:dyDescent="0.2">
      <c r="B30" s="187" t="s">
        <v>723</v>
      </c>
      <c r="C30" s="180">
        <f>SUM(C28:C29)</f>
        <v>32149583.32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1225785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21714905</v>
      </c>
      <c r="D35" s="182">
        <f t="shared" ref="D35:D40" si="1">ROUND((C35/$C$41)*100,1)</f>
        <v>64.5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4092767.379999999</v>
      </c>
      <c r="D36" s="182">
        <f t="shared" si="1"/>
        <v>12.2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6028728</v>
      </c>
      <c r="D37" s="182">
        <f t="shared" si="1"/>
        <v>17.899999999999999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882626</v>
      </c>
      <c r="D38" s="182">
        <f t="shared" si="1"/>
        <v>2.6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952144</v>
      </c>
      <c r="D39" s="182">
        <f t="shared" si="1"/>
        <v>2.8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33671170.379999995</v>
      </c>
      <c r="D41" s="184">
        <f>SUM(D35:D40)</f>
        <v>99.999999999999986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24" sqref="C24:M2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5" t="s">
        <v>764</v>
      </c>
      <c r="B1" s="296"/>
      <c r="C1" s="296"/>
      <c r="D1" s="296"/>
      <c r="E1" s="296"/>
      <c r="F1" s="296"/>
      <c r="G1" s="296"/>
      <c r="H1" s="296"/>
      <c r="I1" s="296"/>
      <c r="J1" s="213"/>
      <c r="K1" s="213"/>
      <c r="L1" s="213"/>
      <c r="M1" s="214"/>
    </row>
    <row r="2" spans="1:26" ht="12.75" x14ac:dyDescent="0.2">
      <c r="A2" s="301" t="s">
        <v>761</v>
      </c>
      <c r="B2" s="302"/>
      <c r="C2" s="302"/>
      <c r="D2" s="302"/>
      <c r="E2" s="302"/>
      <c r="F2" s="299" t="str">
        <f>'DOE25'!A2</f>
        <v>Sanborn Regional School District</v>
      </c>
      <c r="G2" s="300"/>
      <c r="H2" s="300"/>
      <c r="I2" s="300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7" t="s">
        <v>765</v>
      </c>
      <c r="D3" s="297"/>
      <c r="E3" s="297"/>
      <c r="F3" s="297"/>
      <c r="G3" s="297"/>
      <c r="H3" s="297"/>
      <c r="I3" s="297"/>
      <c r="J3" s="297"/>
      <c r="K3" s="297"/>
      <c r="L3" s="297"/>
      <c r="M3" s="298"/>
    </row>
    <row r="4" spans="1:26" x14ac:dyDescent="0.2">
      <c r="A4" s="218">
        <v>19</v>
      </c>
      <c r="B4" s="219">
        <v>1</v>
      </c>
      <c r="C4" s="286" t="s">
        <v>912</v>
      </c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 t="s">
        <v>913</v>
      </c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>
        <v>19</v>
      </c>
      <c r="B6" s="219">
        <v>3</v>
      </c>
      <c r="C6" s="286" t="s">
        <v>916</v>
      </c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 t="s">
        <v>917</v>
      </c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>
        <v>19</v>
      </c>
      <c r="B8" s="219">
        <v>4</v>
      </c>
      <c r="C8" s="286" t="s">
        <v>919</v>
      </c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7"/>
      <c r="AB29" s="207"/>
      <c r="AC29" s="291"/>
      <c r="AD29" s="291"/>
      <c r="AE29" s="291"/>
      <c r="AF29" s="291"/>
      <c r="AG29" s="291"/>
      <c r="AH29" s="291"/>
      <c r="AI29" s="291"/>
      <c r="AJ29" s="291"/>
      <c r="AK29" s="291"/>
      <c r="AL29" s="291"/>
      <c r="AM29" s="291"/>
      <c r="AN29" s="207"/>
      <c r="AO29" s="207"/>
      <c r="AP29" s="291"/>
      <c r="AQ29" s="291"/>
      <c r="AR29" s="291"/>
      <c r="AS29" s="291"/>
      <c r="AT29" s="291"/>
      <c r="AU29" s="291"/>
      <c r="AV29" s="291"/>
      <c r="AW29" s="291"/>
      <c r="AX29" s="291"/>
      <c r="AY29" s="291"/>
      <c r="AZ29" s="291"/>
      <c r="BA29" s="207"/>
      <c r="BB29" s="207"/>
      <c r="BC29" s="291"/>
      <c r="BD29" s="291"/>
      <c r="BE29" s="291"/>
      <c r="BF29" s="291"/>
      <c r="BG29" s="291"/>
      <c r="BH29" s="291"/>
      <c r="BI29" s="291"/>
      <c r="BJ29" s="291"/>
      <c r="BK29" s="291"/>
      <c r="BL29" s="291"/>
      <c r="BM29" s="291"/>
      <c r="BN29" s="207"/>
      <c r="BO29" s="207"/>
      <c r="BP29" s="291"/>
      <c r="BQ29" s="291"/>
      <c r="BR29" s="291"/>
      <c r="BS29" s="291"/>
      <c r="BT29" s="291"/>
      <c r="BU29" s="291"/>
      <c r="BV29" s="291"/>
      <c r="BW29" s="291"/>
      <c r="BX29" s="291"/>
      <c r="BY29" s="291"/>
      <c r="BZ29" s="291"/>
      <c r="CA29" s="207"/>
      <c r="CB29" s="207"/>
      <c r="CC29" s="291"/>
      <c r="CD29" s="291"/>
      <c r="CE29" s="291"/>
      <c r="CF29" s="291"/>
      <c r="CG29" s="291"/>
      <c r="CH29" s="291"/>
      <c r="CI29" s="291"/>
      <c r="CJ29" s="291"/>
      <c r="CK29" s="291"/>
      <c r="CL29" s="291"/>
      <c r="CM29" s="291"/>
      <c r="CN29" s="207"/>
      <c r="CO29" s="207"/>
      <c r="CP29" s="291"/>
      <c r="CQ29" s="291"/>
      <c r="CR29" s="291"/>
      <c r="CS29" s="291"/>
      <c r="CT29" s="291"/>
      <c r="CU29" s="291"/>
      <c r="CV29" s="291"/>
      <c r="CW29" s="291"/>
      <c r="CX29" s="291"/>
      <c r="CY29" s="291"/>
      <c r="CZ29" s="291"/>
      <c r="DA29" s="207"/>
      <c r="DB29" s="207"/>
      <c r="DC29" s="291"/>
      <c r="DD29" s="291"/>
      <c r="DE29" s="291"/>
      <c r="DF29" s="291"/>
      <c r="DG29" s="291"/>
      <c r="DH29" s="291"/>
      <c r="DI29" s="291"/>
      <c r="DJ29" s="291"/>
      <c r="DK29" s="291"/>
      <c r="DL29" s="291"/>
      <c r="DM29" s="291"/>
      <c r="DN29" s="207"/>
      <c r="DO29" s="207"/>
      <c r="DP29" s="291"/>
      <c r="DQ29" s="291"/>
      <c r="DR29" s="291"/>
      <c r="DS29" s="291"/>
      <c r="DT29" s="291"/>
      <c r="DU29" s="291"/>
      <c r="DV29" s="291"/>
      <c r="DW29" s="291"/>
      <c r="DX29" s="291"/>
      <c r="DY29" s="291"/>
      <c r="DZ29" s="291"/>
      <c r="EA29" s="207"/>
      <c r="EB29" s="207"/>
      <c r="EC29" s="291"/>
      <c r="ED29" s="291"/>
      <c r="EE29" s="291"/>
      <c r="EF29" s="291"/>
      <c r="EG29" s="291"/>
      <c r="EH29" s="291"/>
      <c r="EI29" s="291"/>
      <c r="EJ29" s="291"/>
      <c r="EK29" s="291"/>
      <c r="EL29" s="291"/>
      <c r="EM29" s="291"/>
      <c r="EN29" s="207"/>
      <c r="EO29" s="207"/>
      <c r="EP29" s="291"/>
      <c r="EQ29" s="291"/>
      <c r="ER29" s="291"/>
      <c r="ES29" s="291"/>
      <c r="ET29" s="291"/>
      <c r="EU29" s="291"/>
      <c r="EV29" s="291"/>
      <c r="EW29" s="291"/>
      <c r="EX29" s="291"/>
      <c r="EY29" s="291"/>
      <c r="EZ29" s="291"/>
      <c r="FA29" s="207"/>
      <c r="FB29" s="207"/>
      <c r="FC29" s="291"/>
      <c r="FD29" s="291"/>
      <c r="FE29" s="291"/>
      <c r="FF29" s="291"/>
      <c r="FG29" s="291"/>
      <c r="FH29" s="291"/>
      <c r="FI29" s="291"/>
      <c r="FJ29" s="291"/>
      <c r="FK29" s="291"/>
      <c r="FL29" s="291"/>
      <c r="FM29" s="291"/>
      <c r="FN29" s="207"/>
      <c r="FO29" s="207"/>
      <c r="FP29" s="291"/>
      <c r="FQ29" s="291"/>
      <c r="FR29" s="291"/>
      <c r="FS29" s="291"/>
      <c r="FT29" s="291"/>
      <c r="FU29" s="291"/>
      <c r="FV29" s="291"/>
      <c r="FW29" s="291"/>
      <c r="FX29" s="291"/>
      <c r="FY29" s="291"/>
      <c r="FZ29" s="291"/>
      <c r="GA29" s="207"/>
      <c r="GB29" s="207"/>
      <c r="GC29" s="291"/>
      <c r="GD29" s="291"/>
      <c r="GE29" s="291"/>
      <c r="GF29" s="291"/>
      <c r="GG29" s="291"/>
      <c r="GH29" s="291"/>
      <c r="GI29" s="291"/>
      <c r="GJ29" s="291"/>
      <c r="GK29" s="291"/>
      <c r="GL29" s="291"/>
      <c r="GM29" s="291"/>
      <c r="GN29" s="207"/>
      <c r="GO29" s="207"/>
      <c r="GP29" s="291"/>
      <c r="GQ29" s="291"/>
      <c r="GR29" s="291"/>
      <c r="GS29" s="291"/>
      <c r="GT29" s="291"/>
      <c r="GU29" s="291"/>
      <c r="GV29" s="291"/>
      <c r="GW29" s="291"/>
      <c r="GX29" s="291"/>
      <c r="GY29" s="291"/>
      <c r="GZ29" s="291"/>
      <c r="HA29" s="207"/>
      <c r="HB29" s="207"/>
      <c r="HC29" s="291"/>
      <c r="HD29" s="291"/>
      <c r="HE29" s="291"/>
      <c r="HF29" s="291"/>
      <c r="HG29" s="291"/>
      <c r="HH29" s="291"/>
      <c r="HI29" s="291"/>
      <c r="HJ29" s="291"/>
      <c r="HK29" s="291"/>
      <c r="HL29" s="291"/>
      <c r="HM29" s="291"/>
      <c r="HN29" s="207"/>
      <c r="HO29" s="207"/>
      <c r="HP29" s="291"/>
      <c r="HQ29" s="291"/>
      <c r="HR29" s="291"/>
      <c r="HS29" s="291"/>
      <c r="HT29" s="291"/>
      <c r="HU29" s="291"/>
      <c r="HV29" s="291"/>
      <c r="HW29" s="291"/>
      <c r="HX29" s="291"/>
      <c r="HY29" s="291"/>
      <c r="HZ29" s="291"/>
      <c r="IA29" s="207"/>
      <c r="IB29" s="207"/>
      <c r="IC29" s="291"/>
      <c r="ID29" s="291"/>
      <c r="IE29" s="291"/>
      <c r="IF29" s="291"/>
      <c r="IG29" s="291"/>
      <c r="IH29" s="291"/>
      <c r="II29" s="291"/>
      <c r="IJ29" s="291"/>
      <c r="IK29" s="291"/>
      <c r="IL29" s="291"/>
      <c r="IM29" s="291"/>
      <c r="IN29" s="207"/>
      <c r="IO29" s="207"/>
      <c r="IP29" s="291"/>
      <c r="IQ29" s="291"/>
      <c r="IR29" s="291"/>
      <c r="IS29" s="291"/>
      <c r="IT29" s="291"/>
      <c r="IU29" s="291"/>
      <c r="IV29" s="291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7"/>
      <c r="AB30" s="207"/>
      <c r="AC30" s="291"/>
      <c r="AD30" s="291"/>
      <c r="AE30" s="291"/>
      <c r="AF30" s="291"/>
      <c r="AG30" s="291"/>
      <c r="AH30" s="291"/>
      <c r="AI30" s="291"/>
      <c r="AJ30" s="291"/>
      <c r="AK30" s="291"/>
      <c r="AL30" s="291"/>
      <c r="AM30" s="291"/>
      <c r="AN30" s="207"/>
      <c r="AO30" s="207"/>
      <c r="AP30" s="291"/>
      <c r="AQ30" s="291"/>
      <c r="AR30" s="291"/>
      <c r="AS30" s="291"/>
      <c r="AT30" s="291"/>
      <c r="AU30" s="291"/>
      <c r="AV30" s="291"/>
      <c r="AW30" s="291"/>
      <c r="AX30" s="291"/>
      <c r="AY30" s="291"/>
      <c r="AZ30" s="291"/>
      <c r="BA30" s="207"/>
      <c r="BB30" s="207"/>
      <c r="BC30" s="291"/>
      <c r="BD30" s="291"/>
      <c r="BE30" s="291"/>
      <c r="BF30" s="291"/>
      <c r="BG30" s="291"/>
      <c r="BH30" s="291"/>
      <c r="BI30" s="291"/>
      <c r="BJ30" s="291"/>
      <c r="BK30" s="291"/>
      <c r="BL30" s="291"/>
      <c r="BM30" s="291"/>
      <c r="BN30" s="207"/>
      <c r="BO30" s="207"/>
      <c r="BP30" s="291"/>
      <c r="BQ30" s="291"/>
      <c r="BR30" s="291"/>
      <c r="BS30" s="291"/>
      <c r="BT30" s="291"/>
      <c r="BU30" s="291"/>
      <c r="BV30" s="291"/>
      <c r="BW30" s="291"/>
      <c r="BX30" s="291"/>
      <c r="BY30" s="291"/>
      <c r="BZ30" s="291"/>
      <c r="CA30" s="207"/>
      <c r="CB30" s="207"/>
      <c r="CC30" s="291"/>
      <c r="CD30" s="291"/>
      <c r="CE30" s="291"/>
      <c r="CF30" s="291"/>
      <c r="CG30" s="291"/>
      <c r="CH30" s="291"/>
      <c r="CI30" s="291"/>
      <c r="CJ30" s="291"/>
      <c r="CK30" s="291"/>
      <c r="CL30" s="291"/>
      <c r="CM30" s="291"/>
      <c r="CN30" s="207"/>
      <c r="CO30" s="207"/>
      <c r="CP30" s="291"/>
      <c r="CQ30" s="291"/>
      <c r="CR30" s="291"/>
      <c r="CS30" s="291"/>
      <c r="CT30" s="291"/>
      <c r="CU30" s="291"/>
      <c r="CV30" s="291"/>
      <c r="CW30" s="291"/>
      <c r="CX30" s="291"/>
      <c r="CY30" s="291"/>
      <c r="CZ30" s="291"/>
      <c r="DA30" s="207"/>
      <c r="DB30" s="207"/>
      <c r="DC30" s="291"/>
      <c r="DD30" s="291"/>
      <c r="DE30" s="291"/>
      <c r="DF30" s="291"/>
      <c r="DG30" s="291"/>
      <c r="DH30" s="291"/>
      <c r="DI30" s="291"/>
      <c r="DJ30" s="291"/>
      <c r="DK30" s="291"/>
      <c r="DL30" s="291"/>
      <c r="DM30" s="291"/>
      <c r="DN30" s="207"/>
      <c r="DO30" s="207"/>
      <c r="DP30" s="291"/>
      <c r="DQ30" s="291"/>
      <c r="DR30" s="291"/>
      <c r="DS30" s="291"/>
      <c r="DT30" s="291"/>
      <c r="DU30" s="291"/>
      <c r="DV30" s="291"/>
      <c r="DW30" s="291"/>
      <c r="DX30" s="291"/>
      <c r="DY30" s="291"/>
      <c r="DZ30" s="291"/>
      <c r="EA30" s="207"/>
      <c r="EB30" s="207"/>
      <c r="EC30" s="291"/>
      <c r="ED30" s="291"/>
      <c r="EE30" s="291"/>
      <c r="EF30" s="291"/>
      <c r="EG30" s="291"/>
      <c r="EH30" s="291"/>
      <c r="EI30" s="291"/>
      <c r="EJ30" s="291"/>
      <c r="EK30" s="291"/>
      <c r="EL30" s="291"/>
      <c r="EM30" s="291"/>
      <c r="EN30" s="207"/>
      <c r="EO30" s="207"/>
      <c r="EP30" s="291"/>
      <c r="EQ30" s="291"/>
      <c r="ER30" s="291"/>
      <c r="ES30" s="291"/>
      <c r="ET30" s="291"/>
      <c r="EU30" s="291"/>
      <c r="EV30" s="291"/>
      <c r="EW30" s="291"/>
      <c r="EX30" s="291"/>
      <c r="EY30" s="291"/>
      <c r="EZ30" s="291"/>
      <c r="FA30" s="207"/>
      <c r="FB30" s="207"/>
      <c r="FC30" s="291"/>
      <c r="FD30" s="291"/>
      <c r="FE30" s="291"/>
      <c r="FF30" s="291"/>
      <c r="FG30" s="291"/>
      <c r="FH30" s="291"/>
      <c r="FI30" s="291"/>
      <c r="FJ30" s="291"/>
      <c r="FK30" s="291"/>
      <c r="FL30" s="291"/>
      <c r="FM30" s="291"/>
      <c r="FN30" s="207"/>
      <c r="FO30" s="207"/>
      <c r="FP30" s="291"/>
      <c r="FQ30" s="291"/>
      <c r="FR30" s="291"/>
      <c r="FS30" s="291"/>
      <c r="FT30" s="291"/>
      <c r="FU30" s="291"/>
      <c r="FV30" s="291"/>
      <c r="FW30" s="291"/>
      <c r="FX30" s="291"/>
      <c r="FY30" s="291"/>
      <c r="FZ30" s="291"/>
      <c r="GA30" s="207"/>
      <c r="GB30" s="207"/>
      <c r="GC30" s="291"/>
      <c r="GD30" s="291"/>
      <c r="GE30" s="291"/>
      <c r="GF30" s="291"/>
      <c r="GG30" s="291"/>
      <c r="GH30" s="291"/>
      <c r="GI30" s="291"/>
      <c r="GJ30" s="291"/>
      <c r="GK30" s="291"/>
      <c r="GL30" s="291"/>
      <c r="GM30" s="291"/>
      <c r="GN30" s="207"/>
      <c r="GO30" s="207"/>
      <c r="GP30" s="291"/>
      <c r="GQ30" s="291"/>
      <c r="GR30" s="291"/>
      <c r="GS30" s="291"/>
      <c r="GT30" s="291"/>
      <c r="GU30" s="291"/>
      <c r="GV30" s="291"/>
      <c r="GW30" s="291"/>
      <c r="GX30" s="291"/>
      <c r="GY30" s="291"/>
      <c r="GZ30" s="291"/>
      <c r="HA30" s="207"/>
      <c r="HB30" s="207"/>
      <c r="HC30" s="291"/>
      <c r="HD30" s="291"/>
      <c r="HE30" s="291"/>
      <c r="HF30" s="291"/>
      <c r="HG30" s="291"/>
      <c r="HH30" s="291"/>
      <c r="HI30" s="291"/>
      <c r="HJ30" s="291"/>
      <c r="HK30" s="291"/>
      <c r="HL30" s="291"/>
      <c r="HM30" s="291"/>
      <c r="HN30" s="207"/>
      <c r="HO30" s="207"/>
      <c r="HP30" s="291"/>
      <c r="HQ30" s="291"/>
      <c r="HR30" s="291"/>
      <c r="HS30" s="291"/>
      <c r="HT30" s="291"/>
      <c r="HU30" s="291"/>
      <c r="HV30" s="291"/>
      <c r="HW30" s="291"/>
      <c r="HX30" s="291"/>
      <c r="HY30" s="291"/>
      <c r="HZ30" s="291"/>
      <c r="IA30" s="207"/>
      <c r="IB30" s="207"/>
      <c r="IC30" s="291"/>
      <c r="ID30" s="291"/>
      <c r="IE30" s="291"/>
      <c r="IF30" s="291"/>
      <c r="IG30" s="291"/>
      <c r="IH30" s="291"/>
      <c r="II30" s="291"/>
      <c r="IJ30" s="291"/>
      <c r="IK30" s="291"/>
      <c r="IL30" s="291"/>
      <c r="IM30" s="291"/>
      <c r="IN30" s="207"/>
      <c r="IO30" s="207"/>
      <c r="IP30" s="291"/>
      <c r="IQ30" s="291"/>
      <c r="IR30" s="291"/>
      <c r="IS30" s="291"/>
      <c r="IT30" s="291"/>
      <c r="IU30" s="291"/>
      <c r="IV30" s="291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7"/>
      <c r="AB31" s="207"/>
      <c r="AC31" s="291"/>
      <c r="AD31" s="291"/>
      <c r="AE31" s="291"/>
      <c r="AF31" s="291"/>
      <c r="AG31" s="291"/>
      <c r="AH31" s="291"/>
      <c r="AI31" s="291"/>
      <c r="AJ31" s="291"/>
      <c r="AK31" s="291"/>
      <c r="AL31" s="291"/>
      <c r="AM31" s="291"/>
      <c r="AN31" s="207"/>
      <c r="AO31" s="207"/>
      <c r="AP31" s="291"/>
      <c r="AQ31" s="291"/>
      <c r="AR31" s="291"/>
      <c r="AS31" s="291"/>
      <c r="AT31" s="291"/>
      <c r="AU31" s="291"/>
      <c r="AV31" s="291"/>
      <c r="AW31" s="291"/>
      <c r="AX31" s="291"/>
      <c r="AY31" s="291"/>
      <c r="AZ31" s="291"/>
      <c r="BA31" s="207"/>
      <c r="BB31" s="207"/>
      <c r="BC31" s="291"/>
      <c r="BD31" s="291"/>
      <c r="BE31" s="291"/>
      <c r="BF31" s="291"/>
      <c r="BG31" s="291"/>
      <c r="BH31" s="291"/>
      <c r="BI31" s="291"/>
      <c r="BJ31" s="291"/>
      <c r="BK31" s="291"/>
      <c r="BL31" s="291"/>
      <c r="BM31" s="291"/>
      <c r="BN31" s="207"/>
      <c r="BO31" s="207"/>
      <c r="BP31" s="291"/>
      <c r="BQ31" s="291"/>
      <c r="BR31" s="291"/>
      <c r="BS31" s="291"/>
      <c r="BT31" s="291"/>
      <c r="BU31" s="291"/>
      <c r="BV31" s="291"/>
      <c r="BW31" s="291"/>
      <c r="BX31" s="291"/>
      <c r="BY31" s="291"/>
      <c r="BZ31" s="291"/>
      <c r="CA31" s="207"/>
      <c r="CB31" s="207"/>
      <c r="CC31" s="291"/>
      <c r="CD31" s="291"/>
      <c r="CE31" s="291"/>
      <c r="CF31" s="291"/>
      <c r="CG31" s="291"/>
      <c r="CH31" s="291"/>
      <c r="CI31" s="291"/>
      <c r="CJ31" s="291"/>
      <c r="CK31" s="291"/>
      <c r="CL31" s="291"/>
      <c r="CM31" s="291"/>
      <c r="CN31" s="207"/>
      <c r="CO31" s="207"/>
      <c r="CP31" s="291"/>
      <c r="CQ31" s="291"/>
      <c r="CR31" s="291"/>
      <c r="CS31" s="291"/>
      <c r="CT31" s="291"/>
      <c r="CU31" s="291"/>
      <c r="CV31" s="291"/>
      <c r="CW31" s="291"/>
      <c r="CX31" s="291"/>
      <c r="CY31" s="291"/>
      <c r="CZ31" s="291"/>
      <c r="DA31" s="207"/>
      <c r="DB31" s="207"/>
      <c r="DC31" s="291"/>
      <c r="DD31" s="291"/>
      <c r="DE31" s="291"/>
      <c r="DF31" s="291"/>
      <c r="DG31" s="291"/>
      <c r="DH31" s="291"/>
      <c r="DI31" s="291"/>
      <c r="DJ31" s="291"/>
      <c r="DK31" s="291"/>
      <c r="DL31" s="291"/>
      <c r="DM31" s="291"/>
      <c r="DN31" s="207"/>
      <c r="DO31" s="207"/>
      <c r="DP31" s="291"/>
      <c r="DQ31" s="291"/>
      <c r="DR31" s="291"/>
      <c r="DS31" s="291"/>
      <c r="DT31" s="291"/>
      <c r="DU31" s="291"/>
      <c r="DV31" s="291"/>
      <c r="DW31" s="291"/>
      <c r="DX31" s="291"/>
      <c r="DY31" s="291"/>
      <c r="DZ31" s="291"/>
      <c r="EA31" s="207"/>
      <c r="EB31" s="207"/>
      <c r="EC31" s="291"/>
      <c r="ED31" s="291"/>
      <c r="EE31" s="291"/>
      <c r="EF31" s="291"/>
      <c r="EG31" s="291"/>
      <c r="EH31" s="291"/>
      <c r="EI31" s="291"/>
      <c r="EJ31" s="291"/>
      <c r="EK31" s="291"/>
      <c r="EL31" s="291"/>
      <c r="EM31" s="291"/>
      <c r="EN31" s="207"/>
      <c r="EO31" s="207"/>
      <c r="EP31" s="291"/>
      <c r="EQ31" s="291"/>
      <c r="ER31" s="291"/>
      <c r="ES31" s="291"/>
      <c r="ET31" s="291"/>
      <c r="EU31" s="291"/>
      <c r="EV31" s="291"/>
      <c r="EW31" s="291"/>
      <c r="EX31" s="291"/>
      <c r="EY31" s="291"/>
      <c r="EZ31" s="291"/>
      <c r="FA31" s="207"/>
      <c r="FB31" s="207"/>
      <c r="FC31" s="291"/>
      <c r="FD31" s="291"/>
      <c r="FE31" s="291"/>
      <c r="FF31" s="291"/>
      <c r="FG31" s="291"/>
      <c r="FH31" s="291"/>
      <c r="FI31" s="291"/>
      <c r="FJ31" s="291"/>
      <c r="FK31" s="291"/>
      <c r="FL31" s="291"/>
      <c r="FM31" s="291"/>
      <c r="FN31" s="207"/>
      <c r="FO31" s="207"/>
      <c r="FP31" s="291"/>
      <c r="FQ31" s="291"/>
      <c r="FR31" s="291"/>
      <c r="FS31" s="291"/>
      <c r="FT31" s="291"/>
      <c r="FU31" s="291"/>
      <c r="FV31" s="291"/>
      <c r="FW31" s="291"/>
      <c r="FX31" s="291"/>
      <c r="FY31" s="291"/>
      <c r="FZ31" s="291"/>
      <c r="GA31" s="207"/>
      <c r="GB31" s="207"/>
      <c r="GC31" s="291"/>
      <c r="GD31" s="291"/>
      <c r="GE31" s="291"/>
      <c r="GF31" s="291"/>
      <c r="GG31" s="291"/>
      <c r="GH31" s="291"/>
      <c r="GI31" s="291"/>
      <c r="GJ31" s="291"/>
      <c r="GK31" s="291"/>
      <c r="GL31" s="291"/>
      <c r="GM31" s="291"/>
      <c r="GN31" s="207"/>
      <c r="GO31" s="207"/>
      <c r="GP31" s="291"/>
      <c r="GQ31" s="291"/>
      <c r="GR31" s="291"/>
      <c r="GS31" s="291"/>
      <c r="GT31" s="291"/>
      <c r="GU31" s="291"/>
      <c r="GV31" s="291"/>
      <c r="GW31" s="291"/>
      <c r="GX31" s="291"/>
      <c r="GY31" s="291"/>
      <c r="GZ31" s="291"/>
      <c r="HA31" s="207"/>
      <c r="HB31" s="207"/>
      <c r="HC31" s="291"/>
      <c r="HD31" s="291"/>
      <c r="HE31" s="291"/>
      <c r="HF31" s="291"/>
      <c r="HG31" s="291"/>
      <c r="HH31" s="291"/>
      <c r="HI31" s="291"/>
      <c r="HJ31" s="291"/>
      <c r="HK31" s="291"/>
      <c r="HL31" s="291"/>
      <c r="HM31" s="291"/>
      <c r="HN31" s="207"/>
      <c r="HO31" s="207"/>
      <c r="HP31" s="291"/>
      <c r="HQ31" s="291"/>
      <c r="HR31" s="291"/>
      <c r="HS31" s="291"/>
      <c r="HT31" s="291"/>
      <c r="HU31" s="291"/>
      <c r="HV31" s="291"/>
      <c r="HW31" s="291"/>
      <c r="HX31" s="291"/>
      <c r="HY31" s="291"/>
      <c r="HZ31" s="291"/>
      <c r="IA31" s="207"/>
      <c r="IB31" s="207"/>
      <c r="IC31" s="291"/>
      <c r="ID31" s="291"/>
      <c r="IE31" s="291"/>
      <c r="IF31" s="291"/>
      <c r="IG31" s="291"/>
      <c r="IH31" s="291"/>
      <c r="II31" s="291"/>
      <c r="IJ31" s="291"/>
      <c r="IK31" s="291"/>
      <c r="IL31" s="291"/>
      <c r="IM31" s="291"/>
      <c r="IN31" s="207"/>
      <c r="IO31" s="207"/>
      <c r="IP31" s="291"/>
      <c r="IQ31" s="291"/>
      <c r="IR31" s="291"/>
      <c r="IS31" s="291"/>
      <c r="IT31" s="291"/>
      <c r="IU31" s="291"/>
      <c r="IV31" s="291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4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7"/>
      <c r="AB38" s="207"/>
      <c r="AC38" s="291"/>
      <c r="AD38" s="291"/>
      <c r="AE38" s="291"/>
      <c r="AF38" s="291"/>
      <c r="AG38" s="291"/>
      <c r="AH38" s="291"/>
      <c r="AI38" s="291"/>
      <c r="AJ38" s="291"/>
      <c r="AK38" s="291"/>
      <c r="AL38" s="291"/>
      <c r="AM38" s="291"/>
      <c r="AN38" s="207"/>
      <c r="AO38" s="207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07"/>
      <c r="BB38" s="207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07"/>
      <c r="BO38" s="207"/>
      <c r="BP38" s="291"/>
      <c r="BQ38" s="291"/>
      <c r="BR38" s="291"/>
      <c r="BS38" s="291"/>
      <c r="BT38" s="291"/>
      <c r="BU38" s="291"/>
      <c r="BV38" s="291"/>
      <c r="BW38" s="291"/>
      <c r="BX38" s="291"/>
      <c r="BY38" s="291"/>
      <c r="BZ38" s="291"/>
      <c r="CA38" s="207"/>
      <c r="CB38" s="207"/>
      <c r="CC38" s="291"/>
      <c r="CD38" s="291"/>
      <c r="CE38" s="291"/>
      <c r="CF38" s="291"/>
      <c r="CG38" s="291"/>
      <c r="CH38" s="291"/>
      <c r="CI38" s="291"/>
      <c r="CJ38" s="291"/>
      <c r="CK38" s="291"/>
      <c r="CL38" s="291"/>
      <c r="CM38" s="291"/>
      <c r="CN38" s="207"/>
      <c r="CO38" s="207"/>
      <c r="CP38" s="291"/>
      <c r="CQ38" s="291"/>
      <c r="CR38" s="291"/>
      <c r="CS38" s="291"/>
      <c r="CT38" s="291"/>
      <c r="CU38" s="291"/>
      <c r="CV38" s="291"/>
      <c r="CW38" s="291"/>
      <c r="CX38" s="291"/>
      <c r="CY38" s="291"/>
      <c r="CZ38" s="291"/>
      <c r="DA38" s="207"/>
      <c r="DB38" s="207"/>
      <c r="DC38" s="291"/>
      <c r="DD38" s="291"/>
      <c r="DE38" s="291"/>
      <c r="DF38" s="291"/>
      <c r="DG38" s="291"/>
      <c r="DH38" s="291"/>
      <c r="DI38" s="291"/>
      <c r="DJ38" s="291"/>
      <c r="DK38" s="291"/>
      <c r="DL38" s="291"/>
      <c r="DM38" s="291"/>
      <c r="DN38" s="207"/>
      <c r="DO38" s="207"/>
      <c r="DP38" s="291"/>
      <c r="DQ38" s="291"/>
      <c r="DR38" s="291"/>
      <c r="DS38" s="291"/>
      <c r="DT38" s="291"/>
      <c r="DU38" s="291"/>
      <c r="DV38" s="291"/>
      <c r="DW38" s="291"/>
      <c r="DX38" s="291"/>
      <c r="DY38" s="291"/>
      <c r="DZ38" s="291"/>
      <c r="EA38" s="207"/>
      <c r="EB38" s="207"/>
      <c r="EC38" s="291"/>
      <c r="ED38" s="291"/>
      <c r="EE38" s="291"/>
      <c r="EF38" s="291"/>
      <c r="EG38" s="291"/>
      <c r="EH38" s="291"/>
      <c r="EI38" s="291"/>
      <c r="EJ38" s="291"/>
      <c r="EK38" s="291"/>
      <c r="EL38" s="291"/>
      <c r="EM38" s="291"/>
      <c r="EN38" s="207"/>
      <c r="EO38" s="207"/>
      <c r="EP38" s="291"/>
      <c r="EQ38" s="291"/>
      <c r="ER38" s="291"/>
      <c r="ES38" s="291"/>
      <c r="ET38" s="291"/>
      <c r="EU38" s="291"/>
      <c r="EV38" s="291"/>
      <c r="EW38" s="291"/>
      <c r="EX38" s="291"/>
      <c r="EY38" s="291"/>
      <c r="EZ38" s="291"/>
      <c r="FA38" s="207"/>
      <c r="FB38" s="207"/>
      <c r="FC38" s="291"/>
      <c r="FD38" s="291"/>
      <c r="FE38" s="291"/>
      <c r="FF38" s="291"/>
      <c r="FG38" s="291"/>
      <c r="FH38" s="291"/>
      <c r="FI38" s="291"/>
      <c r="FJ38" s="291"/>
      <c r="FK38" s="291"/>
      <c r="FL38" s="291"/>
      <c r="FM38" s="291"/>
      <c r="FN38" s="207"/>
      <c r="FO38" s="207"/>
      <c r="FP38" s="291"/>
      <c r="FQ38" s="291"/>
      <c r="FR38" s="291"/>
      <c r="FS38" s="291"/>
      <c r="FT38" s="291"/>
      <c r="FU38" s="291"/>
      <c r="FV38" s="291"/>
      <c r="FW38" s="291"/>
      <c r="FX38" s="291"/>
      <c r="FY38" s="291"/>
      <c r="FZ38" s="291"/>
      <c r="GA38" s="207"/>
      <c r="GB38" s="207"/>
      <c r="GC38" s="291"/>
      <c r="GD38" s="291"/>
      <c r="GE38" s="291"/>
      <c r="GF38" s="291"/>
      <c r="GG38" s="291"/>
      <c r="GH38" s="291"/>
      <c r="GI38" s="291"/>
      <c r="GJ38" s="291"/>
      <c r="GK38" s="291"/>
      <c r="GL38" s="291"/>
      <c r="GM38" s="291"/>
      <c r="GN38" s="207"/>
      <c r="GO38" s="207"/>
      <c r="GP38" s="291"/>
      <c r="GQ38" s="291"/>
      <c r="GR38" s="291"/>
      <c r="GS38" s="291"/>
      <c r="GT38" s="291"/>
      <c r="GU38" s="291"/>
      <c r="GV38" s="291"/>
      <c r="GW38" s="291"/>
      <c r="GX38" s="291"/>
      <c r="GY38" s="291"/>
      <c r="GZ38" s="291"/>
      <c r="HA38" s="207"/>
      <c r="HB38" s="207"/>
      <c r="HC38" s="291"/>
      <c r="HD38" s="291"/>
      <c r="HE38" s="291"/>
      <c r="HF38" s="291"/>
      <c r="HG38" s="291"/>
      <c r="HH38" s="291"/>
      <c r="HI38" s="291"/>
      <c r="HJ38" s="291"/>
      <c r="HK38" s="291"/>
      <c r="HL38" s="291"/>
      <c r="HM38" s="291"/>
      <c r="HN38" s="207"/>
      <c r="HO38" s="207"/>
      <c r="HP38" s="291"/>
      <c r="HQ38" s="291"/>
      <c r="HR38" s="291"/>
      <c r="HS38" s="291"/>
      <c r="HT38" s="291"/>
      <c r="HU38" s="291"/>
      <c r="HV38" s="291"/>
      <c r="HW38" s="291"/>
      <c r="HX38" s="291"/>
      <c r="HY38" s="291"/>
      <c r="HZ38" s="291"/>
      <c r="IA38" s="207"/>
      <c r="IB38" s="207"/>
      <c r="IC38" s="291"/>
      <c r="ID38" s="291"/>
      <c r="IE38" s="291"/>
      <c r="IF38" s="291"/>
      <c r="IG38" s="291"/>
      <c r="IH38" s="291"/>
      <c r="II38" s="291"/>
      <c r="IJ38" s="291"/>
      <c r="IK38" s="291"/>
      <c r="IL38" s="291"/>
      <c r="IM38" s="291"/>
      <c r="IN38" s="207"/>
      <c r="IO38" s="207"/>
      <c r="IP38" s="291"/>
      <c r="IQ38" s="291"/>
      <c r="IR38" s="291"/>
      <c r="IS38" s="291"/>
      <c r="IT38" s="291"/>
      <c r="IU38" s="291"/>
      <c r="IV38" s="291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7"/>
      <c r="AB39" s="207"/>
      <c r="AC39" s="291"/>
      <c r="AD39" s="291"/>
      <c r="AE39" s="291"/>
      <c r="AF39" s="291"/>
      <c r="AG39" s="291"/>
      <c r="AH39" s="291"/>
      <c r="AI39" s="291"/>
      <c r="AJ39" s="291"/>
      <c r="AK39" s="291"/>
      <c r="AL39" s="291"/>
      <c r="AM39" s="291"/>
      <c r="AN39" s="207"/>
      <c r="AO39" s="207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07"/>
      <c r="BB39" s="207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07"/>
      <c r="BO39" s="207"/>
      <c r="BP39" s="291"/>
      <c r="BQ39" s="291"/>
      <c r="BR39" s="291"/>
      <c r="BS39" s="291"/>
      <c r="BT39" s="291"/>
      <c r="BU39" s="291"/>
      <c r="BV39" s="291"/>
      <c r="BW39" s="291"/>
      <c r="BX39" s="291"/>
      <c r="BY39" s="291"/>
      <c r="BZ39" s="291"/>
      <c r="CA39" s="207"/>
      <c r="CB39" s="207"/>
      <c r="CC39" s="291"/>
      <c r="CD39" s="291"/>
      <c r="CE39" s="291"/>
      <c r="CF39" s="291"/>
      <c r="CG39" s="291"/>
      <c r="CH39" s="291"/>
      <c r="CI39" s="291"/>
      <c r="CJ39" s="291"/>
      <c r="CK39" s="291"/>
      <c r="CL39" s="291"/>
      <c r="CM39" s="291"/>
      <c r="CN39" s="207"/>
      <c r="CO39" s="207"/>
      <c r="CP39" s="291"/>
      <c r="CQ39" s="291"/>
      <c r="CR39" s="291"/>
      <c r="CS39" s="291"/>
      <c r="CT39" s="291"/>
      <c r="CU39" s="291"/>
      <c r="CV39" s="291"/>
      <c r="CW39" s="291"/>
      <c r="CX39" s="291"/>
      <c r="CY39" s="291"/>
      <c r="CZ39" s="291"/>
      <c r="DA39" s="207"/>
      <c r="DB39" s="207"/>
      <c r="DC39" s="291"/>
      <c r="DD39" s="291"/>
      <c r="DE39" s="291"/>
      <c r="DF39" s="291"/>
      <c r="DG39" s="291"/>
      <c r="DH39" s="291"/>
      <c r="DI39" s="291"/>
      <c r="DJ39" s="291"/>
      <c r="DK39" s="291"/>
      <c r="DL39" s="291"/>
      <c r="DM39" s="291"/>
      <c r="DN39" s="207"/>
      <c r="DO39" s="207"/>
      <c r="DP39" s="291"/>
      <c r="DQ39" s="291"/>
      <c r="DR39" s="291"/>
      <c r="DS39" s="291"/>
      <c r="DT39" s="291"/>
      <c r="DU39" s="291"/>
      <c r="DV39" s="291"/>
      <c r="DW39" s="291"/>
      <c r="DX39" s="291"/>
      <c r="DY39" s="291"/>
      <c r="DZ39" s="291"/>
      <c r="EA39" s="207"/>
      <c r="EB39" s="207"/>
      <c r="EC39" s="291"/>
      <c r="ED39" s="291"/>
      <c r="EE39" s="291"/>
      <c r="EF39" s="291"/>
      <c r="EG39" s="291"/>
      <c r="EH39" s="291"/>
      <c r="EI39" s="291"/>
      <c r="EJ39" s="291"/>
      <c r="EK39" s="291"/>
      <c r="EL39" s="291"/>
      <c r="EM39" s="291"/>
      <c r="EN39" s="207"/>
      <c r="EO39" s="207"/>
      <c r="EP39" s="291"/>
      <c r="EQ39" s="291"/>
      <c r="ER39" s="291"/>
      <c r="ES39" s="291"/>
      <c r="ET39" s="291"/>
      <c r="EU39" s="291"/>
      <c r="EV39" s="291"/>
      <c r="EW39" s="291"/>
      <c r="EX39" s="291"/>
      <c r="EY39" s="291"/>
      <c r="EZ39" s="291"/>
      <c r="FA39" s="207"/>
      <c r="FB39" s="207"/>
      <c r="FC39" s="291"/>
      <c r="FD39" s="291"/>
      <c r="FE39" s="291"/>
      <c r="FF39" s="291"/>
      <c r="FG39" s="291"/>
      <c r="FH39" s="291"/>
      <c r="FI39" s="291"/>
      <c r="FJ39" s="291"/>
      <c r="FK39" s="291"/>
      <c r="FL39" s="291"/>
      <c r="FM39" s="291"/>
      <c r="FN39" s="207"/>
      <c r="FO39" s="207"/>
      <c r="FP39" s="291"/>
      <c r="FQ39" s="291"/>
      <c r="FR39" s="291"/>
      <c r="FS39" s="291"/>
      <c r="FT39" s="291"/>
      <c r="FU39" s="291"/>
      <c r="FV39" s="291"/>
      <c r="FW39" s="291"/>
      <c r="FX39" s="291"/>
      <c r="FY39" s="291"/>
      <c r="FZ39" s="291"/>
      <c r="GA39" s="207"/>
      <c r="GB39" s="207"/>
      <c r="GC39" s="291"/>
      <c r="GD39" s="291"/>
      <c r="GE39" s="291"/>
      <c r="GF39" s="291"/>
      <c r="GG39" s="291"/>
      <c r="GH39" s="291"/>
      <c r="GI39" s="291"/>
      <c r="GJ39" s="291"/>
      <c r="GK39" s="291"/>
      <c r="GL39" s="291"/>
      <c r="GM39" s="291"/>
      <c r="GN39" s="207"/>
      <c r="GO39" s="207"/>
      <c r="GP39" s="291"/>
      <c r="GQ39" s="291"/>
      <c r="GR39" s="291"/>
      <c r="GS39" s="291"/>
      <c r="GT39" s="291"/>
      <c r="GU39" s="291"/>
      <c r="GV39" s="291"/>
      <c r="GW39" s="291"/>
      <c r="GX39" s="291"/>
      <c r="GY39" s="291"/>
      <c r="GZ39" s="291"/>
      <c r="HA39" s="207"/>
      <c r="HB39" s="207"/>
      <c r="HC39" s="291"/>
      <c r="HD39" s="291"/>
      <c r="HE39" s="291"/>
      <c r="HF39" s="291"/>
      <c r="HG39" s="291"/>
      <c r="HH39" s="291"/>
      <c r="HI39" s="291"/>
      <c r="HJ39" s="291"/>
      <c r="HK39" s="291"/>
      <c r="HL39" s="291"/>
      <c r="HM39" s="291"/>
      <c r="HN39" s="207"/>
      <c r="HO39" s="207"/>
      <c r="HP39" s="291"/>
      <c r="HQ39" s="291"/>
      <c r="HR39" s="291"/>
      <c r="HS39" s="291"/>
      <c r="HT39" s="291"/>
      <c r="HU39" s="291"/>
      <c r="HV39" s="291"/>
      <c r="HW39" s="291"/>
      <c r="HX39" s="291"/>
      <c r="HY39" s="291"/>
      <c r="HZ39" s="291"/>
      <c r="IA39" s="207"/>
      <c r="IB39" s="207"/>
      <c r="IC39" s="291"/>
      <c r="ID39" s="291"/>
      <c r="IE39" s="291"/>
      <c r="IF39" s="291"/>
      <c r="IG39" s="291"/>
      <c r="IH39" s="291"/>
      <c r="II39" s="291"/>
      <c r="IJ39" s="291"/>
      <c r="IK39" s="291"/>
      <c r="IL39" s="291"/>
      <c r="IM39" s="291"/>
      <c r="IN39" s="207"/>
      <c r="IO39" s="207"/>
      <c r="IP39" s="291"/>
      <c r="IQ39" s="291"/>
      <c r="IR39" s="291"/>
      <c r="IS39" s="291"/>
      <c r="IT39" s="291"/>
      <c r="IU39" s="291"/>
      <c r="IV39" s="291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7"/>
      <c r="AB40" s="207"/>
      <c r="AC40" s="291"/>
      <c r="AD40" s="291"/>
      <c r="AE40" s="291"/>
      <c r="AF40" s="291"/>
      <c r="AG40" s="291"/>
      <c r="AH40" s="291"/>
      <c r="AI40" s="291"/>
      <c r="AJ40" s="291"/>
      <c r="AK40" s="291"/>
      <c r="AL40" s="291"/>
      <c r="AM40" s="291"/>
      <c r="AN40" s="207"/>
      <c r="AO40" s="207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07"/>
      <c r="BB40" s="207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07"/>
      <c r="BO40" s="207"/>
      <c r="BP40" s="291"/>
      <c r="BQ40" s="291"/>
      <c r="BR40" s="291"/>
      <c r="BS40" s="291"/>
      <c r="BT40" s="291"/>
      <c r="BU40" s="291"/>
      <c r="BV40" s="291"/>
      <c r="BW40" s="291"/>
      <c r="BX40" s="291"/>
      <c r="BY40" s="291"/>
      <c r="BZ40" s="291"/>
      <c r="CA40" s="207"/>
      <c r="CB40" s="207"/>
      <c r="CC40" s="291"/>
      <c r="CD40" s="291"/>
      <c r="CE40" s="291"/>
      <c r="CF40" s="291"/>
      <c r="CG40" s="291"/>
      <c r="CH40" s="291"/>
      <c r="CI40" s="291"/>
      <c r="CJ40" s="291"/>
      <c r="CK40" s="291"/>
      <c r="CL40" s="291"/>
      <c r="CM40" s="291"/>
      <c r="CN40" s="207"/>
      <c r="CO40" s="207"/>
      <c r="CP40" s="291"/>
      <c r="CQ40" s="291"/>
      <c r="CR40" s="291"/>
      <c r="CS40" s="291"/>
      <c r="CT40" s="291"/>
      <c r="CU40" s="291"/>
      <c r="CV40" s="291"/>
      <c r="CW40" s="291"/>
      <c r="CX40" s="291"/>
      <c r="CY40" s="291"/>
      <c r="CZ40" s="291"/>
      <c r="DA40" s="207"/>
      <c r="DB40" s="207"/>
      <c r="DC40" s="291"/>
      <c r="DD40" s="291"/>
      <c r="DE40" s="291"/>
      <c r="DF40" s="291"/>
      <c r="DG40" s="291"/>
      <c r="DH40" s="291"/>
      <c r="DI40" s="291"/>
      <c r="DJ40" s="291"/>
      <c r="DK40" s="291"/>
      <c r="DL40" s="291"/>
      <c r="DM40" s="291"/>
      <c r="DN40" s="207"/>
      <c r="DO40" s="207"/>
      <c r="DP40" s="291"/>
      <c r="DQ40" s="291"/>
      <c r="DR40" s="291"/>
      <c r="DS40" s="291"/>
      <c r="DT40" s="291"/>
      <c r="DU40" s="291"/>
      <c r="DV40" s="291"/>
      <c r="DW40" s="291"/>
      <c r="DX40" s="291"/>
      <c r="DY40" s="291"/>
      <c r="DZ40" s="291"/>
      <c r="EA40" s="207"/>
      <c r="EB40" s="207"/>
      <c r="EC40" s="291"/>
      <c r="ED40" s="291"/>
      <c r="EE40" s="291"/>
      <c r="EF40" s="291"/>
      <c r="EG40" s="291"/>
      <c r="EH40" s="291"/>
      <c r="EI40" s="291"/>
      <c r="EJ40" s="291"/>
      <c r="EK40" s="291"/>
      <c r="EL40" s="291"/>
      <c r="EM40" s="291"/>
      <c r="EN40" s="207"/>
      <c r="EO40" s="207"/>
      <c r="EP40" s="291"/>
      <c r="EQ40" s="291"/>
      <c r="ER40" s="291"/>
      <c r="ES40" s="291"/>
      <c r="ET40" s="291"/>
      <c r="EU40" s="291"/>
      <c r="EV40" s="291"/>
      <c r="EW40" s="291"/>
      <c r="EX40" s="291"/>
      <c r="EY40" s="291"/>
      <c r="EZ40" s="291"/>
      <c r="FA40" s="207"/>
      <c r="FB40" s="207"/>
      <c r="FC40" s="291"/>
      <c r="FD40" s="291"/>
      <c r="FE40" s="291"/>
      <c r="FF40" s="291"/>
      <c r="FG40" s="291"/>
      <c r="FH40" s="291"/>
      <c r="FI40" s="291"/>
      <c r="FJ40" s="291"/>
      <c r="FK40" s="291"/>
      <c r="FL40" s="291"/>
      <c r="FM40" s="291"/>
      <c r="FN40" s="207"/>
      <c r="FO40" s="207"/>
      <c r="FP40" s="291"/>
      <c r="FQ40" s="291"/>
      <c r="FR40" s="291"/>
      <c r="FS40" s="291"/>
      <c r="FT40" s="291"/>
      <c r="FU40" s="291"/>
      <c r="FV40" s="291"/>
      <c r="FW40" s="291"/>
      <c r="FX40" s="291"/>
      <c r="FY40" s="291"/>
      <c r="FZ40" s="291"/>
      <c r="GA40" s="207"/>
      <c r="GB40" s="207"/>
      <c r="GC40" s="291"/>
      <c r="GD40" s="291"/>
      <c r="GE40" s="291"/>
      <c r="GF40" s="291"/>
      <c r="GG40" s="291"/>
      <c r="GH40" s="291"/>
      <c r="GI40" s="291"/>
      <c r="GJ40" s="291"/>
      <c r="GK40" s="291"/>
      <c r="GL40" s="291"/>
      <c r="GM40" s="291"/>
      <c r="GN40" s="207"/>
      <c r="GO40" s="207"/>
      <c r="GP40" s="291"/>
      <c r="GQ40" s="291"/>
      <c r="GR40" s="291"/>
      <c r="GS40" s="291"/>
      <c r="GT40" s="291"/>
      <c r="GU40" s="291"/>
      <c r="GV40" s="291"/>
      <c r="GW40" s="291"/>
      <c r="GX40" s="291"/>
      <c r="GY40" s="291"/>
      <c r="GZ40" s="291"/>
      <c r="HA40" s="207"/>
      <c r="HB40" s="207"/>
      <c r="HC40" s="291"/>
      <c r="HD40" s="291"/>
      <c r="HE40" s="291"/>
      <c r="HF40" s="291"/>
      <c r="HG40" s="291"/>
      <c r="HH40" s="291"/>
      <c r="HI40" s="291"/>
      <c r="HJ40" s="291"/>
      <c r="HK40" s="291"/>
      <c r="HL40" s="291"/>
      <c r="HM40" s="291"/>
      <c r="HN40" s="207"/>
      <c r="HO40" s="207"/>
      <c r="HP40" s="291"/>
      <c r="HQ40" s="291"/>
      <c r="HR40" s="291"/>
      <c r="HS40" s="291"/>
      <c r="HT40" s="291"/>
      <c r="HU40" s="291"/>
      <c r="HV40" s="291"/>
      <c r="HW40" s="291"/>
      <c r="HX40" s="291"/>
      <c r="HY40" s="291"/>
      <c r="HZ40" s="291"/>
      <c r="IA40" s="207"/>
      <c r="IB40" s="207"/>
      <c r="IC40" s="291"/>
      <c r="ID40" s="291"/>
      <c r="IE40" s="291"/>
      <c r="IF40" s="291"/>
      <c r="IG40" s="291"/>
      <c r="IH40" s="291"/>
      <c r="II40" s="291"/>
      <c r="IJ40" s="291"/>
      <c r="IK40" s="291"/>
      <c r="IL40" s="291"/>
      <c r="IM40" s="291"/>
      <c r="IN40" s="207"/>
      <c r="IO40" s="207"/>
      <c r="IP40" s="291"/>
      <c r="IQ40" s="291"/>
      <c r="IR40" s="291"/>
      <c r="IS40" s="291"/>
      <c r="IT40" s="291"/>
      <c r="IU40" s="291"/>
      <c r="IV40" s="291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88"/>
      <c r="D70" s="288"/>
      <c r="E70" s="288"/>
      <c r="F70" s="288"/>
      <c r="G70" s="288"/>
      <c r="H70" s="288"/>
      <c r="I70" s="288"/>
      <c r="J70" s="288"/>
      <c r="K70" s="288"/>
      <c r="L70" s="288"/>
      <c r="M70" s="28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0" t="s">
        <v>842</v>
      </c>
      <c r="B72" s="290"/>
      <c r="C72" s="290"/>
      <c r="D72" s="290"/>
      <c r="E72" s="29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5"/>
      <c r="D73" s="285"/>
      <c r="E73" s="285"/>
      <c r="F73" s="285"/>
      <c r="G73" s="285"/>
      <c r="H73" s="285"/>
      <c r="I73" s="285"/>
      <c r="J73" s="285"/>
      <c r="K73" s="285"/>
      <c r="L73" s="285"/>
      <c r="M73" s="285"/>
    </row>
    <row r="74" spans="1:13" x14ac:dyDescent="0.2">
      <c r="A74" s="211"/>
      <c r="B74" s="211"/>
      <c r="C74" s="285"/>
      <c r="D74" s="285"/>
      <c r="E74" s="285"/>
      <c r="F74" s="285"/>
      <c r="G74" s="285"/>
      <c r="H74" s="285"/>
      <c r="I74" s="285"/>
      <c r="J74" s="285"/>
      <c r="K74" s="285"/>
      <c r="L74" s="285"/>
      <c r="M74" s="285"/>
    </row>
    <row r="75" spans="1:13" x14ac:dyDescent="0.2">
      <c r="A75" s="211"/>
      <c r="B75" s="211"/>
      <c r="C75" s="285"/>
      <c r="D75" s="285"/>
      <c r="E75" s="285"/>
      <c r="F75" s="285"/>
      <c r="G75" s="285"/>
      <c r="H75" s="285"/>
      <c r="I75" s="285"/>
      <c r="J75" s="285"/>
      <c r="K75" s="285"/>
      <c r="L75" s="285"/>
      <c r="M75" s="285"/>
    </row>
    <row r="76" spans="1:13" x14ac:dyDescent="0.2">
      <c r="A76" s="211"/>
      <c r="B76" s="211"/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5"/>
    </row>
    <row r="77" spans="1:13" x14ac:dyDescent="0.2">
      <c r="A77" s="211"/>
      <c r="B77" s="211"/>
      <c r="C77" s="285"/>
      <c r="D77" s="285"/>
      <c r="E77" s="285"/>
      <c r="F77" s="285"/>
      <c r="G77" s="285"/>
      <c r="H77" s="285"/>
      <c r="I77" s="285"/>
      <c r="J77" s="285"/>
      <c r="K77" s="285"/>
      <c r="L77" s="285"/>
      <c r="M77" s="285"/>
    </row>
    <row r="78" spans="1:13" x14ac:dyDescent="0.2">
      <c r="A78" s="211"/>
      <c r="B78" s="211"/>
      <c r="C78" s="285"/>
      <c r="D78" s="285"/>
      <c r="E78" s="285"/>
      <c r="F78" s="285"/>
      <c r="G78" s="285"/>
      <c r="H78" s="285"/>
      <c r="I78" s="285"/>
      <c r="J78" s="285"/>
      <c r="K78" s="285"/>
      <c r="L78" s="285"/>
      <c r="M78" s="285"/>
    </row>
    <row r="79" spans="1:13" x14ac:dyDescent="0.2">
      <c r="A79" s="211"/>
      <c r="B79" s="211"/>
      <c r="C79" s="285"/>
      <c r="D79" s="285"/>
      <c r="E79" s="285"/>
      <c r="F79" s="285"/>
      <c r="G79" s="285"/>
      <c r="H79" s="285"/>
      <c r="I79" s="285"/>
      <c r="J79" s="285"/>
      <c r="K79" s="285"/>
      <c r="L79" s="285"/>
      <c r="M79" s="285"/>
    </row>
    <row r="80" spans="1:13" x14ac:dyDescent="0.2">
      <c r="A80" s="211"/>
      <c r="B80" s="211"/>
      <c r="C80" s="285"/>
      <c r="D80" s="285"/>
      <c r="E80" s="285"/>
      <c r="F80" s="285"/>
      <c r="G80" s="285"/>
      <c r="H80" s="285"/>
      <c r="I80" s="285"/>
      <c r="J80" s="285"/>
      <c r="K80" s="285"/>
      <c r="L80" s="285"/>
      <c r="M80" s="285"/>
    </row>
    <row r="81" spans="1:13" x14ac:dyDescent="0.2">
      <c r="A81" s="211"/>
      <c r="B81" s="211"/>
      <c r="C81" s="285"/>
      <c r="D81" s="285"/>
      <c r="E81" s="285"/>
      <c r="F81" s="285"/>
      <c r="G81" s="285"/>
      <c r="H81" s="285"/>
      <c r="I81" s="285"/>
      <c r="J81" s="285"/>
      <c r="K81" s="285"/>
      <c r="L81" s="285"/>
      <c r="M81" s="285"/>
    </row>
    <row r="82" spans="1:13" x14ac:dyDescent="0.2">
      <c r="A82" s="211"/>
      <c r="B82" s="211"/>
      <c r="C82" s="285"/>
      <c r="D82" s="285"/>
      <c r="E82" s="285"/>
      <c r="F82" s="285"/>
      <c r="G82" s="285"/>
      <c r="H82" s="285"/>
      <c r="I82" s="285"/>
      <c r="J82" s="285"/>
      <c r="K82" s="285"/>
      <c r="L82" s="285"/>
      <c r="M82" s="285"/>
    </row>
    <row r="83" spans="1:13" x14ac:dyDescent="0.2">
      <c r="A83" s="211"/>
      <c r="B83" s="211"/>
      <c r="C83" s="285"/>
      <c r="D83" s="285"/>
      <c r="E83" s="285"/>
      <c r="F83" s="285"/>
      <c r="G83" s="285"/>
      <c r="H83" s="285"/>
      <c r="I83" s="285"/>
      <c r="J83" s="285"/>
      <c r="K83" s="285"/>
      <c r="L83" s="285"/>
      <c r="M83" s="285"/>
    </row>
    <row r="84" spans="1:13" x14ac:dyDescent="0.2">
      <c r="A84" s="211"/>
      <c r="B84" s="211"/>
      <c r="C84" s="285"/>
      <c r="D84" s="285"/>
      <c r="E84" s="285"/>
      <c r="F84" s="285"/>
      <c r="G84" s="285"/>
      <c r="H84" s="285"/>
      <c r="I84" s="285"/>
      <c r="J84" s="285"/>
      <c r="K84" s="285"/>
      <c r="L84" s="285"/>
      <c r="M84" s="285"/>
    </row>
    <row r="85" spans="1:13" x14ac:dyDescent="0.2">
      <c r="A85" s="211"/>
      <c r="B85" s="211"/>
      <c r="C85" s="285"/>
      <c r="D85" s="285"/>
      <c r="E85" s="285"/>
      <c r="F85" s="285"/>
      <c r="G85" s="285"/>
      <c r="H85" s="285"/>
      <c r="I85" s="285"/>
      <c r="J85" s="285"/>
      <c r="K85" s="285"/>
      <c r="L85" s="285"/>
      <c r="M85" s="285"/>
    </row>
    <row r="86" spans="1:13" x14ac:dyDescent="0.2">
      <c r="A86" s="211"/>
      <c r="B86" s="211"/>
      <c r="C86" s="285"/>
      <c r="D86" s="285"/>
      <c r="E86" s="285"/>
      <c r="F86" s="285"/>
      <c r="G86" s="285"/>
      <c r="H86" s="285"/>
      <c r="I86" s="285"/>
      <c r="J86" s="285"/>
      <c r="K86" s="285"/>
      <c r="L86" s="285"/>
      <c r="M86" s="285"/>
    </row>
    <row r="87" spans="1:13" x14ac:dyDescent="0.2">
      <c r="A87" s="211"/>
      <c r="B87" s="211"/>
      <c r="C87" s="285"/>
      <c r="D87" s="285"/>
      <c r="E87" s="285"/>
      <c r="F87" s="285"/>
      <c r="G87" s="285"/>
      <c r="H87" s="285"/>
      <c r="I87" s="285"/>
      <c r="J87" s="285"/>
      <c r="K87" s="285"/>
      <c r="L87" s="285"/>
      <c r="M87" s="285"/>
    </row>
    <row r="88" spans="1:13" x14ac:dyDescent="0.2">
      <c r="A88" s="211"/>
      <c r="B88" s="211"/>
      <c r="C88" s="285"/>
      <c r="D88" s="285"/>
      <c r="E88" s="285"/>
      <c r="F88" s="285"/>
      <c r="G88" s="285"/>
      <c r="H88" s="285"/>
      <c r="I88" s="285"/>
      <c r="J88" s="285"/>
      <c r="K88" s="285"/>
      <c r="L88" s="285"/>
      <c r="M88" s="285"/>
    </row>
    <row r="89" spans="1:13" x14ac:dyDescent="0.2">
      <c r="A89" s="211"/>
      <c r="B89" s="211"/>
      <c r="C89" s="285"/>
      <c r="D89" s="285"/>
      <c r="E89" s="285"/>
      <c r="F89" s="285"/>
      <c r="G89" s="285"/>
      <c r="H89" s="285"/>
      <c r="I89" s="285"/>
      <c r="J89" s="285"/>
      <c r="K89" s="285"/>
      <c r="L89" s="285"/>
      <c r="M89" s="285"/>
    </row>
    <row r="90" spans="1:13" x14ac:dyDescent="0.2">
      <c r="A90" s="211"/>
      <c r="B90" s="211"/>
      <c r="C90" s="285"/>
      <c r="D90" s="285"/>
      <c r="E90" s="285"/>
      <c r="F90" s="285"/>
      <c r="G90" s="285"/>
      <c r="H90" s="285"/>
      <c r="I90" s="285"/>
      <c r="J90" s="285"/>
      <c r="K90" s="285"/>
      <c r="L90" s="285"/>
      <c r="M90" s="285"/>
    </row>
  </sheetData>
  <sheetProtection password="970A" sheet="1" objects="1" scenarios="1"/>
  <mergeCells count="222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13:M13"/>
    <mergeCell ref="C8:M8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2018-09-12T12:02:01Z</cp:lastPrinted>
  <dcterms:created xsi:type="dcterms:W3CDTF">1997-12-04T19:04:30Z</dcterms:created>
  <dcterms:modified xsi:type="dcterms:W3CDTF">2018-12-11T14:38:33Z</dcterms:modified>
</cp:coreProperties>
</file>