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23610" windowHeight="121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6" i="1" l="1"/>
  <c r="F526" i="1"/>
  <c r="F531" i="1" l="1"/>
  <c r="H604" i="1" l="1"/>
  <c r="I250" i="1"/>
  <c r="J521" i="1" l="1"/>
  <c r="I521" i="1"/>
  <c r="H521" i="1"/>
  <c r="K531" i="1"/>
  <c r="G521" i="1"/>
  <c r="F521" i="1"/>
  <c r="G531" i="1"/>
  <c r="C37" i="12" l="1"/>
  <c r="C21" i="12"/>
  <c r="C20" i="12"/>
  <c r="C19" i="12"/>
  <c r="C12" i="12"/>
  <c r="C11" i="12"/>
  <c r="C10" i="12"/>
  <c r="G205" i="1"/>
  <c r="G203" i="1"/>
  <c r="Q35" i="14"/>
  <c r="F23" i="1"/>
  <c r="F14" i="1"/>
  <c r="H202" i="1"/>
  <c r="B12" i="12"/>
  <c r="B11" i="12"/>
  <c r="B10" i="12"/>
  <c r="B21" i="12"/>
  <c r="B20" i="12"/>
  <c r="B19" i="12"/>
  <c r="B37" i="12"/>
  <c r="B39" i="12"/>
  <c r="I207" i="1"/>
  <c r="I203" i="1"/>
  <c r="H208" i="1"/>
  <c r="H207" i="1"/>
  <c r="H204" i="1"/>
  <c r="H203" i="1"/>
  <c r="F203" i="1"/>
  <c r="F202" i="1"/>
  <c r="F200" i="1"/>
  <c r="F29" i="1" l="1"/>
  <c r="I277" i="1"/>
  <c r="H277" i="1"/>
  <c r="H159" i="1"/>
  <c r="H155" i="1"/>
  <c r="H154" i="1"/>
  <c r="F367" i="1"/>
  <c r="F368" i="1"/>
  <c r="I358" i="1"/>
  <c r="G358" i="1"/>
  <c r="F358" i="1"/>
  <c r="G158" i="1"/>
  <c r="J96" i="1"/>
  <c r="H397" i="1"/>
  <c r="H39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E111" i="2"/>
  <c r="E112" i="2"/>
  <c r="C113" i="2"/>
  <c r="E113" i="2"/>
  <c r="C114" i="2"/>
  <c r="E114" i="2"/>
  <c r="D115" i="2"/>
  <c r="F115" i="2"/>
  <c r="G115" i="2"/>
  <c r="E118" i="2"/>
  <c r="C120" i="2"/>
  <c r="E120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J257" i="1" s="1"/>
  <c r="J271" i="1" s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J640" i="1" s="1"/>
  <c r="H640" i="1"/>
  <c r="G641" i="1"/>
  <c r="H641" i="1"/>
  <c r="G642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K257" i="1"/>
  <c r="K271" i="1" s="1"/>
  <c r="G164" i="2"/>
  <c r="C18" i="2"/>
  <c r="C26" i="10"/>
  <c r="L328" i="1"/>
  <c r="H660" i="1" s="1"/>
  <c r="L351" i="1"/>
  <c r="A31" i="12"/>
  <c r="C70" i="2"/>
  <c r="D62" i="2"/>
  <c r="D63" i="2" s="1"/>
  <c r="D18" i="13"/>
  <c r="C18" i="13" s="1"/>
  <c r="D18" i="2"/>
  <c r="D17" i="13"/>
  <c r="C17" i="13" s="1"/>
  <c r="F78" i="2"/>
  <c r="F81" i="2" s="1"/>
  <c r="D31" i="2"/>
  <c r="D50" i="2"/>
  <c r="F18" i="2"/>
  <c r="G161" i="2"/>
  <c r="E103" i="2"/>
  <c r="D91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I169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J140" i="1"/>
  <c r="F571" i="1"/>
  <c r="I552" i="1"/>
  <c r="K550" i="1"/>
  <c r="G22" i="2"/>
  <c r="K545" i="1"/>
  <c r="J552" i="1"/>
  <c r="C29" i="10"/>
  <c r="H140" i="1"/>
  <c r="L401" i="1"/>
  <c r="C139" i="2" s="1"/>
  <c r="L393" i="1"/>
  <c r="F22" i="13"/>
  <c r="C22" i="13" s="1"/>
  <c r="H25" i="13"/>
  <c r="C25" i="13" s="1"/>
  <c r="J651" i="1"/>
  <c r="H571" i="1"/>
  <c r="L560" i="1"/>
  <c r="H338" i="1"/>
  <c r="H352" i="1" s="1"/>
  <c r="G192" i="1"/>
  <c r="H192" i="1"/>
  <c r="L309" i="1"/>
  <c r="E16" i="13"/>
  <c r="C16" i="13" s="1"/>
  <c r="L570" i="1"/>
  <c r="I571" i="1"/>
  <c r="J636" i="1"/>
  <c r="G36" i="2"/>
  <c r="L565" i="1"/>
  <c r="K551" i="1"/>
  <c r="C138" i="2"/>
  <c r="H33" i="13"/>
  <c r="J622" i="1" l="1"/>
  <c r="L529" i="1"/>
  <c r="L256" i="1"/>
  <c r="I257" i="1"/>
  <c r="I271" i="1" s="1"/>
  <c r="H257" i="1"/>
  <c r="H271" i="1" s="1"/>
  <c r="K503" i="1"/>
  <c r="L524" i="1"/>
  <c r="G545" i="1"/>
  <c r="L534" i="1"/>
  <c r="J617" i="1"/>
  <c r="H545" i="1"/>
  <c r="K549" i="1"/>
  <c r="K552" i="1" s="1"/>
  <c r="H552" i="1"/>
  <c r="C17" i="10"/>
  <c r="E8" i="13"/>
  <c r="C8" i="13" s="1"/>
  <c r="K605" i="1"/>
  <c r="G648" i="1" s="1"/>
  <c r="K598" i="1"/>
  <c r="G647" i="1" s="1"/>
  <c r="D15" i="13"/>
  <c r="C15" i="13" s="1"/>
  <c r="C124" i="2"/>
  <c r="G649" i="1"/>
  <c r="J649" i="1" s="1"/>
  <c r="H647" i="1"/>
  <c r="F662" i="1"/>
  <c r="I662" i="1" s="1"/>
  <c r="D7" i="13"/>
  <c r="C7" i="13" s="1"/>
  <c r="D6" i="13"/>
  <c r="C6" i="13" s="1"/>
  <c r="C10" i="10"/>
  <c r="D5" i="13"/>
  <c r="C5" i="13" s="1"/>
  <c r="D12" i="13"/>
  <c r="C12" i="13" s="1"/>
  <c r="C121" i="2"/>
  <c r="C119" i="2"/>
  <c r="C118" i="2"/>
  <c r="C112" i="2"/>
  <c r="C115" i="2" s="1"/>
  <c r="L211" i="1"/>
  <c r="L257" i="1" s="1"/>
  <c r="L271" i="1" s="1"/>
  <c r="G632" i="1" s="1"/>
  <c r="J632" i="1" s="1"/>
  <c r="C13" i="10"/>
  <c r="C12" i="10"/>
  <c r="C11" i="10"/>
  <c r="C78" i="2"/>
  <c r="C81" i="2" s="1"/>
  <c r="C62" i="2"/>
  <c r="C63" i="2" s="1"/>
  <c r="C35" i="10"/>
  <c r="C36" i="10" s="1"/>
  <c r="A40" i="12"/>
  <c r="E128" i="2"/>
  <c r="J338" i="1"/>
  <c r="J352" i="1" s="1"/>
  <c r="G338" i="1"/>
  <c r="G352" i="1" s="1"/>
  <c r="F338" i="1"/>
  <c r="F352" i="1" s="1"/>
  <c r="E110" i="2"/>
  <c r="L290" i="1"/>
  <c r="E109" i="2"/>
  <c r="D145" i="2"/>
  <c r="J634" i="1"/>
  <c r="I661" i="1"/>
  <c r="L362" i="1"/>
  <c r="G635" i="1" s="1"/>
  <c r="J635" i="1" s="1"/>
  <c r="H664" i="1"/>
  <c r="H672" i="1" s="1"/>
  <c r="C6" i="10" s="1"/>
  <c r="J645" i="1"/>
  <c r="J644" i="1"/>
  <c r="I460" i="1"/>
  <c r="I461" i="1" s="1"/>
  <c r="H64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C27" i="10"/>
  <c r="L545" i="1" l="1"/>
  <c r="E33" i="13"/>
  <c r="D35" i="13" s="1"/>
  <c r="J647" i="1"/>
  <c r="C128" i="2"/>
  <c r="C145" i="2" s="1"/>
  <c r="F660" i="1"/>
  <c r="F664" i="1" s="1"/>
  <c r="F667" i="1" s="1"/>
  <c r="C104" i="2"/>
  <c r="H648" i="1"/>
  <c r="J648" i="1" s="1"/>
  <c r="C28" i="10"/>
  <c r="D19" i="10" s="1"/>
  <c r="L338" i="1"/>
  <c r="L352" i="1" s="1"/>
  <c r="G633" i="1" s="1"/>
  <c r="J633" i="1" s="1"/>
  <c r="E115" i="2"/>
  <c r="E145" i="2" s="1"/>
  <c r="D31" i="13"/>
  <c r="C31" i="13" s="1"/>
  <c r="G672" i="1"/>
  <c r="C5" i="10" s="1"/>
  <c r="H667" i="1"/>
  <c r="G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72" i="1"/>
  <c r="C4" i="10" s="1"/>
  <c r="D13" i="10"/>
  <c r="D21" i="10"/>
  <c r="D11" i="10"/>
  <c r="D22" i="10"/>
  <c r="D18" i="10"/>
  <c r="D12" i="10"/>
  <c r="D27" i="10"/>
  <c r="D17" i="10"/>
  <c r="D24" i="10"/>
  <c r="D10" i="10"/>
  <c r="D26" i="10"/>
  <c r="C30" i="10"/>
  <c r="D16" i="10"/>
  <c r="D23" i="10"/>
  <c r="D20" i="10"/>
  <c r="D15" i="10"/>
  <c r="D25" i="10"/>
  <c r="D33" i="13"/>
  <c r="D36" i="13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<sst xmlns="http://schemas.openxmlformats.org/spreadsheetml/2006/main" count="3959" uniqueCount="915">
  <si>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</si>
  <si>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</si>
  <si>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</si>
  <si>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</si>
  <si>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</si>
  <si>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</si>
  <si>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</si>
  <si>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</si>
  <si>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</si>
  <si>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</si>
  <si>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</si>
  <si>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</si>
  <si>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</si>
  <si>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</si>
  <si>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</si>
  <si>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</si>
  <si>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</si>
  <si>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</si>
  <si>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</si>
  <si>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</si>
  <si>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</si>
  <si>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</si>
  <si>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</si>
  <si>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</si>
  <si>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</si>
  <si>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</si>
  <si>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</si>
  <si>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</si>
  <si>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</si>
  <si>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</si>
  <si>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</si>
  <si>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</si>
  <si>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</si>
  <si>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</si>
  <si>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</si>
  <si>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</si>
  <si>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</si>
  <si>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</si>
  <si>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</si>
  <si>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</si>
  <si>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</si>
  <si>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</si>
  <si>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</si>
  <si>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</si>
  <si>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</si>
  <si>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</si>
  <si>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</si>
  <si>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</si>
  <si>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</si>
  <si>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</si>
  <si>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</si>
  <si>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</si>
  <si>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</si>
  <si>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</si>
  <si>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</si>
  <si>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</si>
  <si>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</si>
  <si>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</si>
  <si>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</si>
  <si>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</si>
  <si>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</si>
  <si>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</si>
  <si>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</si>
  <si>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</si>
  <si>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</si>
  <si>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</si>
  <si>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</si>
  <si>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</si>
  <si>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</si>
  <si>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</si>
  <si>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</si>
  <si>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</si>
  <si>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</si>
  <si>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</si>
  <si>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</si>
  <si>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</si>
  <si>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</si>
  <si>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</si>
  <si>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</si>
  <si>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</si>
  <si>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</si>
  <si>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</si>
  <si>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</si>
  <si>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</si>
  <si>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</si>
  <si>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</si>
  <si>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</si>
  <si>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</si>
  <si>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</si>
  <si>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</si>
  <si>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</si>
  <si>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</si>
  <si>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</si>
  <si>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</si>
  <si>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</si>
  <si>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</si>
  <si>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</si>
  <si>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</si>
  <si>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</si>
  <si>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</si>
  <si>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</si>
  <si>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</si>
  <si>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</si>
  <si>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</si>
  <si>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</si>
  <si>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</si>
  <si>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</si>
  <si>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</si>
  <si>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</si>
  <si>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</si>
  <si>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</si>
  <si>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</si>
  <si>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</si>
  <si>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</si>
  <si>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</si>
  <si>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</si>
  <si>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</si>
  <si>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</si>
  <si>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</si>
  <si>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</si>
  <si>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</si>
  <si>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</si>
  <si>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</si>
  <si>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</si>
  <si>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</si>
  <si>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</si>
  <si>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</si>
  <si>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</si>
  <si>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</si>
  <si>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</si>
  <si>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</si>
  <si>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</si>
  <si>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</si>
  <si>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</si>
  <si>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</si>
  <si>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</si>
  <si>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</si>
  <si>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</si>
  <si>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</si>
  <si>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</si>
  <si>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</si>
  <si>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</si>
  <si>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</si>
  <si>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</si>
  <si>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</si>
  <si>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</si>
  <si>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</si>
  <si>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</si>
  <si>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</si>
  <si>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</si>
  <si>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</si>
  <si>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</si>
  <si>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</si>
  <si>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</si>
  <si>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</si>
  <si>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</si>
  <si>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</si>
  <si>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</si>
  <si>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</si>
  <si>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</si>
  <si>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</si>
  <si>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</si>
  <si>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</si>
  <si>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</si>
  <si>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</si>
  <si>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</si>
  <si>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</si>
  <si>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</si>
  <si>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</si>
  <si>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</si>
  <si>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</si>
  <si>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</si>
  <si>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</si>
  <si>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</si>
  <si>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</si>
  <si>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</si>
  <si>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</si>
  <si>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</si>
  <si>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</si>
  <si>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</si>
  <si>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</si>
  <si>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</si>
  <si>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</si>
  <si>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</si>
  <si>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</si>
  <si>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</si>
  <si>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</si>
  <si>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</si>
  <si>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</si>
  <si>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</si>
  <si>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</si>
  <si>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</si>
  <si>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</si>
  <si>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</si>
  <si>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</si>
  <si>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</si>
  <si>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</si>
  <si>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</si>
  <si>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</si>
  <si>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</si>
  <si>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</si>
  <si>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</si>
  <si>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</si>
  <si>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</si>
  <si>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</si>
  <si>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</si>
  <si>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</si>
  <si>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</si>
  <si>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</si>
  <si>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</si>
  <si>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</si>
  <si>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</si>
  <si>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</si>
  <si>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</si>
  <si>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</si>
  <si>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</si>
  <si>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</si>
  <si>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</si>
  <si>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</si>
  <si>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</si>
  <si>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</si>
  <si>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</si>
  <si>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</si>
  <si>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</si>
  <si>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</si>
  <si>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</si>
  <si>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</si>
  <si>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</si>
  <si>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</si>
  <si>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</si>
  <si>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</si>
  <si>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</si>
  <si>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</si>
  <si>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</si>
  <si>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</si>
  <si>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</si>
  <si>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</si>
  <si>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</si>
  <si>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</si>
  <si>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</si>
  <si>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</si>
  <si>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</si>
  <si>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</si>
  <si>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</si>
  <si>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</si>
  <si>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</si>
  <si>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</si>
  <si>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</si>
  <si>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</si>
  <si>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</si>
  <si>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</si>
  <si>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</si>
  <si>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</si>
  <si>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</si>
  <si>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</si>
  <si>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</si>
  <si>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</si>
  <si>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</si>
  <si>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</si>
  <si>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</si>
  <si>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</si>
  <si>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</si>
  <si>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</si>
  <si>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</si>
  <si>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</si>
  <si>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</si>
  <si>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</si>
  <si>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</si>
  <si>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</si>
  <si>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</si>
  <si>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</si>
  <si>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</si>
  <si>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</si>
  <si>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</si>
  <si>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</si>
  <si>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</si>
  <si>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</si>
  <si>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</si>
  <si>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</si>
  <si>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</si>
  <si>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</si>
  <si>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</si>
  <si>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</si>
  <si>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</si>
  <si>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</si>
  <si>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</si>
  <si>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</si>
  <si>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</si>
  <si>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</si>
  <si>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</si>
  <si>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</si>
  <si>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</si>
  <si>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</si>
  <si>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</si>
  <si>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</si>
  <si>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</si>
  <si>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</si>
  <si>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</si>
  <si>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</si>
  <si>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</si>
  <si>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</si>
  <si>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</si>
  <si>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</si>
  <si>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</si>
  <si>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</si>
  <si>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</si>
  <si>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</si>
  <si>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</si>
  <si>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</si>
  <si>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</si>
  <si>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</si>
  <si>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</si>
  <si>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</si>
  <si>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</si>
  <si>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</si>
  <si>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</si>
  <si>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</si>
  <si>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</si>
  <si>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</si>
  <si>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</si>
  <si>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</si>
  <si>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</si>
  <si>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</si>
  <si>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</si>
  <si>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</si>
  <si>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</si>
  <si>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</si>
  <si>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</si>
  <si>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</si>
  <si>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</si>
  <si>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</si>
  <si>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</si>
  <si>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</si>
  <si>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</si>
  <si>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</si>
  <si>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</si>
  <si>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</si>
  <si>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</si>
  <si>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</si>
  <si>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</si>
  <si>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</si>
  <si>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</si>
  <si>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</si>
  <si>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</si>
  <si>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</si>
  <si>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</si>
  <si>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</si>
  <si>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</si>
  <si>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</si>
  <si>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</si>
  <si>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</si>
  <si>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</si>
  <si>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</si>
  <si>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</si>
  <si>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</si>
  <si>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</si>
  <si>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</si>
  <si>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</si>
  <si>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</si>
  <si>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</si>
  <si>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</si>
  <si>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</si>
  <si>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</si>
  <si>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</si>
  <si>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</si>
  <si>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</si>
  <si>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</si>
  <si>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</si>
  <si>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</si>
  <si>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</si>
  <si>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</si>
  <si>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</si>
  <si>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</si>
  <si>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</si>
  <si>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</si>
  <si>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</si>
  <si>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</si>
  <si>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</si>
  <si>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</si>
  <si>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</si>
  <si>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</si>
  <si>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</si>
  <si>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</si>
  <si>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</si>
  <si>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</si>
  <si>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</si>
  <si>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</si>
  <si>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</si>
  <si>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</si>
  <si>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</si>
  <si>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</si>
  <si>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</si>
  <si>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</si>
  <si>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</si>
  <si>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</si>
  <si>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</si>
  <si>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</si>
  <si>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</si>
  <si>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</si>
  <si>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</si>
  <si>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</si>
  <si>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</si>
  <si>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</si>
  <si>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</si>
  <si>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</si>
  <si>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</si>
  <si>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</si>
  <si>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</si>
  <si>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</si>
  <si>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</si>
  <si>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</si>
  <si>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</si>
  <si>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</si>
  <si>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</si>
  <si>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</si>
  <si>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</si>
  <si>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</si>
  <si>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</si>
  <si>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</si>
  <si>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</si>
  <si>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</si>
  <si>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</si>
  <si>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</si>
  <si>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</si>
  <si>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</si>
  <si>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</si>
  <si>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</si>
  <si>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</si>
  <si>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</si>
  <si>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</si>
  <si>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</si>
  <si>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</si>
  <si>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</si>
  <si>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</si>
  <si>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</si>
  <si>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</si>
  <si>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</si>
  <si>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</si>
  <si>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</si>
  <si>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</si>
  <si>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</si>
  <si>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</si>
  <si>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</si>
  <si>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</si>
  <si>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</si>
  <si>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</si>
  <si>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</si>
  <si>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</si>
  <si>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</si>
  <si>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</si>
  <si>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</si>
  <si>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</si>
  <si>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</si>
  <si>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</si>
  <si>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</si>
  <si>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</si>
  <si>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</si>
  <si>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</si>
  <si>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</si>
  <si>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</si>
  <si>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</si>
  <si>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</si>
  <si>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</si>
  <si>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</si>
  <si>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</si>
  <si>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</si>
  <si>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</si>
  <si>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</si>
  <si>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</si>
  <si>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</si>
  <si>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</si>
  <si>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</si>
  <si>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</si>
  <si>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</si>
  <si>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</si>
  <si>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</si>
  <si>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</si>
  <si>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</si>
  <si>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</si>
  <si>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</si>
  <si>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</si>
  <si>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</si>
  <si>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</si>
  <si>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</si>
  <si>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</si>
  <si>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</si>
  <si>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</si>
  <si>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</si>
  <si>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</si>
  <si>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</si>
  <si>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</si>
  <si>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</si>
  <si>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</si>
  <si>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</si>
  <si>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</si>
  <si>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</si>
  <si>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</si>
  <si>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</si>
  <si>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</si>
  <si>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</si>
  <si>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</si>
  <si>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</si>
  <si>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</si>
  <si>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</si>
  <si>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</si>
  <si>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</si>
  <si>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</si>
  <si>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</si>
  <si>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</si>
  <si>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</si>
  <si>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</si>
  <si>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</si>
  <si>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</si>
  <si>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</si>
  <si>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</si>
  <si>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</si>
  <si>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</si>
  <si>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</si>
  <si>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</si>
  <si>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</si>
  <si>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</si>
  <si>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</si>
  <si>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</si>
  <si>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</si>
  <si>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</si>
  <si>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</si>
  <si>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</si>
  <si>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</si>
  <si>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</si>
  <si>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</si>
  <si>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</si>
  <si>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</si>
  <si>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</si>
  <si>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</si>
  <si>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</si>
  <si>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</si>
  <si>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</si>
  <si>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</si>
  <si>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</si>
  <si>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</si>
  <si>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</si>
  <si>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</si>
  <si>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</si>
  <si>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</si>
  <si>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</si>
  <si>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</si>
  <si>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</si>
  <si>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</si>
  <si>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</si>
  <si>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</si>
  <si>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</si>
  <si>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</si>
  <si>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</si>
  <si>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</si>
  <si>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</si>
  <si>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</si>
  <si>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</si>
  <si>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</si>
  <si>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</si>
  <si>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</si>
  <si>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</si>
  <si>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</si>
  <si>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</si>
  <si>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</si>
  <si>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</si>
  <si>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</si>
  <si>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</si>
  <si>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</si>
  <si>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</si>
  <si>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</si>
  <si>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</si>
  <si>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</si>
  <si>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</si>
  <si>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</si>
  <si>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</si>
  <si>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</si>
  <si>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</si>
  <si>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</si>
  <si>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</si>
  <si>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</si>
  <si>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</si>
  <si>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</si>
  <si>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</si>
  <si>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</si>
  <si>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</si>
  <si>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</si>
  <si>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</si>
  <si>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</si>
  <si>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</si>
  <si>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</si>
  <si>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</si>
  <si>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</si>
  <si>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</si>
  <si>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</si>
  <si>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</si>
  <si>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</si>
  <si>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</si>
  <si>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</si>
  <si>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</si>
  <si>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</si>
  <si>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</si>
  <si>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</si>
  <si>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</si>
  <si>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</si>
  <si>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</si>
  <si>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</si>
  <si>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</si>
  <si>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</si>
  <si>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</si>
  <si>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</si>
  <si>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</si>
  <si>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</si>
  <si>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</si>
  <si>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</si>
  <si>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</si>
  <si>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</si>
  <si>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</si>
  <si>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</si>
  <si>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</si>
  <si>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</si>
  <si>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</si>
  <si>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</si>
  <si>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</si>
  <si>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</si>
  <si>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</si>
  <si>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</si>
  <si>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</si>
  <si>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</si>
  <si>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</si>
  <si>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</si>
  <si>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</si>
  <si>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</si>
  <si>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</si>
  <si>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</si>
  <si>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</si>
  <si>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</si>
  <si>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</si>
  <si>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</si>
  <si>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</si>
  <si>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</si>
  <si>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</si>
  <si>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</si>
  <si>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</si>
  <si>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</si>
  <si>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</si>
  <si>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</si>
  <si>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</si>
  <si>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</si>
  <si>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</si>
  <si>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</si>
  <si>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</si>
  <si>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</si>
  <si>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</si>
  <si>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</si>
  <si>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</si>
  <si>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</si>
  <si>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</si>
  <si>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</si>
  <si>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</si>
  <si>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</si>
  <si>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</si>
  <si>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</si>
  <si>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</si>
  <si>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</si>
  <si>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</si>
  <si>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</si>
  <si>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</si>
  <si>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</si>
  <si>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</si>
  <si>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</si>
  <si>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</si>
  <si>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</si>
  <si>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</si>
  <si>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</si>
  <si>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</si>
  <si>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</si>
  <si>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</si>
  <si>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</si>
  <si>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</si>
  <si>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</si>
  <si>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</si>
  <si>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</si>
  <si>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</si>
  <si>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</si>
  <si>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</si>
  <si>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</si>
  <si>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</si>
  <si>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</si>
  <si>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</si>
  <si>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</si>
  <si>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</si>
  <si>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</si>
  <si>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</si>
  <si>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</si>
  <si>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</si>
  <si>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</si>
  <si>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</si>
  <si>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</si>
  <si>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</si>
  <si>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</si>
  <si>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</si>
  <si>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</si>
  <si>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</si>
  <si>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</si>
  <si>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</si>
  <si>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</si>
  <si>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</si>
  <si>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</si>
  <si>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</si>
  <si>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</si>
  <si>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</si>
  <si>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</si>
  <si>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</si>
  <si>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</si>
  <si>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</si>
  <si>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</si>
  <si>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</si>
  <si>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</si>
  <si>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</si>
  <si>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</si>
  <si>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</si>
  <si>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</si>
  <si>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</si>
  <si>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</si>
  <si>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</si>
  <si>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</si>
  <si>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</si>
  <si>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</si>
  <si>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</si>
  <si>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</si>
  <si>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</si>
  <si>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</si>
  <si>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</si>
  <si>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</si>
  <si>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</si>
  <si>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</si>
  <si>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</si>
  <si>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</si>
  <si>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</si>
  <si>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</si>
  <si>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</si>
  <si>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</si>
  <si>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</si>
  <si>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</si>
  <si>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</si>
  <si>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</si>
  <si>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</si>
  <si>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</si>
  <si>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</si>
  <si>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</si>
  <si>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</si>
  <si>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</si>
  <si>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</si>
  <si>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</si>
  <si>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</si>
  <si>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</si>
  <si>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</si>
  <si>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</si>
  <si>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</si>
  <si>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</si>
  <si>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</si>
  <si>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</si>
  <si>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</si>
  <si>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</si>
  <si>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</si>
  <si>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</si>
  <si>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</si>
  <si>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</si>
  <si>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</si>
  <si>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</si>
  <si>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</si>
  <si>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</si>
  <si>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</si>
  <si>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</si>
  <si>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</si>
  <si>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</si>
  <si>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</si>
  <si>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</si>
  <si>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</si>
  <si>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</si>
  <si>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</si>
  <si>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</si>
  <si>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</si>
  <si>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</si>
  <si>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</si>
  <si>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</si>
  <si>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</si>
  <si>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</si>
  <si>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</si>
  <si>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</si>
  <si>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</si>
  <si>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</si>
  <si>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</si>
  <si>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</si>
  <si>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</si>
  <si>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</si>
  <si>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</si>
  <si>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</si>
  <si>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</si>
  <si>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</si>
  <si>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</si>
  <si>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</si>
  <si>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</si>
  <si>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</si>
  <si>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</si>
  <si>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</si>
  <si>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</si>
  <si>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</si>
  <si>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</si>
  <si>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</si>
  <si>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</si>
  <si>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</si>
  <si>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</si>
  <si>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</si>
  <si>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</si>
  <si>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</si>
  <si>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</si>
  <si>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</si>
  <si>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</si>
  <si>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</si>
  <si>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</si>
  <si>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</si>
  <si>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</si>
  <si>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</si>
  <si>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</si>
  <si>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</si>
  <si>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</si>
  <si>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</si>
  <si>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</si>
  <si>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</si>
  <si>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</si>
  <si>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</si>
  <si>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</si>
  <si>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</si>
  <si>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</si>
  <si>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</si>
  <si>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</si>
  <si>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</si>
  <si>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</si>
  <si>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</si>
  <si>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</si>
  <si>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</si>
  <si>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</si>
  <si>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</si>
  <si>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</si>
  <si>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</si>
  <si>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</si>
  <si>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</si>
  <si>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</si>
  <si>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</si>
  <si>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</si>
  <si>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</si>
  <si>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</si>
  <si>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</si>
  <si>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</si>
  <si>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</si>
  <si>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</si>
  <si>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</si>
  <si>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</si>
  <si>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</si>
  <si>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</si>
  <si>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</si>
  <si>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</si>
  <si>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</si>
  <si>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</si>
  <si>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</si>
  <si>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</si>
  <si>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</si>
  <si>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</si>
  <si>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</si>
  <si>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</si>
  <si>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</si>
  <si>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</si>
  <si>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</si>
  <si>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</si>
  <si>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</si>
  <si>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</si>
  <si>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</si>
  <si>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</si>
  <si>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</si>
  <si>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</si>
  <si>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</si>
  <si>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</si>
  <si>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</si>
  <si>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</si>
  <si>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</si>
  <si>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</si>
  <si>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</si>
  <si>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</si>
  <si>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</si>
  <si>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</si>
  <si>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</si>
  <si>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</si>
  <si>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</si>
  <si>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</si>
  <si>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</si>
  <si>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</si>
  <si>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</si>
  <si>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</si>
  <si>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</si>
  <si>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</si>
  <si>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</si>
  <si>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</si>
  <si>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</si>
  <si>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</si>
  <si>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</si>
  <si>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</si>
  <si>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</si>
  <si>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</si>
  <si>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</si>
  <si>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</si>
  <si>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</si>
  <si>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SEABROOK</t>
  </si>
  <si>
    <t>April 2010</t>
  </si>
  <si>
    <t>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</si>
</sst>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485</v>
      </c>
      <c r="C2" s="21">
        <v>485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907245.79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464.82</v>
      </c>
      <c r="G10" s="18"/>
      <c r="H10" s="18"/>
      <c r="I10" s="18"/>
      <c r="J10" s="67">
        <f>SUM(I440)</f>
        <v>182313.48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25706.53</v>
      </c>
      <c r="G12" s="18">
        <v>56116.800000000003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8115.98</v>
      </c>
      <c r="G13" s="18">
        <v>14439.24</v>
      </c>
      <c r="H13" s="18">
        <v>81823.33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1973.86+15381.03</f>
        <v>17354.89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6839.39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1989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960877.01</v>
      </c>
      <c r="G19" s="41">
        <f>SUM(G9:G18)</f>
        <v>77395.430000000008</v>
      </c>
      <c r="H19" s="41">
        <f>SUM(H9:H18)</f>
        <v>81823.33</v>
      </c>
      <c r="I19" s="41">
        <f>SUM(I9:I18)</f>
        <v>0</v>
      </c>
      <c r="J19" s="41">
        <f>SUM(J9:J18)</f>
        <v>182313.48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f>70138.53+116204.39</f>
        <v>186342.91999999998</v>
      </c>
      <c r="G23" s="18"/>
      <c r="H23" s="18">
        <v>81823.33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>
        <v>407.45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12503.64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956.55-2855.66+5688.77+5262.74+1038.89</f>
        <v>10091.290000000001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24987.38</v>
      </c>
      <c r="G30" s="18">
        <v>3984.02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233925.23</v>
      </c>
      <c r="G32" s="41">
        <f>SUM(G22:G31)</f>
        <v>4391.47</v>
      </c>
      <c r="H32" s="41">
        <f>SUM(H22:H31)</f>
        <v>81823.33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6839.39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1989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66164.570000000007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284334.11</v>
      </c>
      <c r="G48" s="18"/>
      <c r="H48" s="18"/>
      <c r="I48" s="18"/>
      <c r="J48" s="13">
        <f>SUM(I459)</f>
        <v>182313.48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72129.89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293498.78000000003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726951.78</v>
      </c>
      <c r="G51" s="41">
        <f>SUM(G35:G50)</f>
        <v>73003.960000000006</v>
      </c>
      <c r="H51" s="41">
        <f>SUM(H35:H50)</f>
        <v>0</v>
      </c>
      <c r="I51" s="41">
        <f>SUM(I35:I50)</f>
        <v>0</v>
      </c>
      <c r="J51" s="41">
        <f>SUM(J35:J50)</f>
        <v>182313.48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960877.01</v>
      </c>
      <c r="G52" s="41">
        <f>G51+G32</f>
        <v>77395.430000000008</v>
      </c>
      <c r="H52" s="41">
        <f>H51+H32</f>
        <v>81823.33</v>
      </c>
      <c r="I52" s="41">
        <f>I51+I32</f>
        <v>0</v>
      </c>
      <c r="J52" s="41">
        <f>J51+J32</f>
        <v>182313.48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10253665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10253665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4103.42</v>
      </c>
      <c r="G96" s="18"/>
      <c r="H96" s="18"/>
      <c r="I96" s="18"/>
      <c r="J96" s="18">
        <f>-659.74+297.85+2255.73+1212.35</f>
        <v>3106.19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90998.78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4310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1448.24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9861.66</v>
      </c>
      <c r="G111" s="41">
        <f>SUM(G96:G110)</f>
        <v>90998.78</v>
      </c>
      <c r="H111" s="41">
        <f>SUM(H96:H110)</f>
        <v>0</v>
      </c>
      <c r="I111" s="41">
        <f>SUM(I96:I110)</f>
        <v>0</v>
      </c>
      <c r="J111" s="41">
        <f>SUM(J96:J110)</f>
        <v>3106.19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10263526.66</v>
      </c>
      <c r="G112" s="41">
        <f>G60+G111</f>
        <v>90998.78</v>
      </c>
      <c r="H112" s="41">
        <f>H60+H79+H94+H111</f>
        <v>0</v>
      </c>
      <c r="I112" s="41">
        <f>I60+I111</f>
        <v>0</v>
      </c>
      <c r="J112" s="41">
        <f>J60+J111</f>
        <v>3106.19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628862.84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2395856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15328.94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3040047.78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37601.86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59233.279999999999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5687.7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96835.14</v>
      </c>
      <c r="G136" s="41">
        <f>SUM(G123:G135)</f>
        <v>5687.7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3136882.92</v>
      </c>
      <c r="G140" s="41">
        <f>G121+SUM(G136:G137)</f>
        <v>5687.7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12411.9+245144.55</f>
        <v>257556.44999999998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1162.08+9817.72+2154.5+20175.39</f>
        <v>33309.69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211306.3+47842.98+4401.03</f>
        <v>263550.31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34239.81+142944.69+2134.28+462.87</f>
        <v>179781.65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30334.99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20760.490000000002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30334.99</v>
      </c>
      <c r="G162" s="41">
        <f>SUM(G150:G161)</f>
        <v>284310.8</v>
      </c>
      <c r="H162" s="41">
        <f>SUM(H150:H161)</f>
        <v>470647.79000000004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30334.99</v>
      </c>
      <c r="G169" s="41">
        <f>G147+G162+SUM(G163:G168)</f>
        <v>284310.8</v>
      </c>
      <c r="H169" s="41">
        <f>H147+H162+SUM(H163:H168)</f>
        <v>470647.79000000004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13430744.57</v>
      </c>
      <c r="G193" s="47">
        <f>G112+G140+G169+G192</f>
        <v>380997.27999999997</v>
      </c>
      <c r="H193" s="47">
        <f>H112+H140+H169+H192</f>
        <v>470647.79000000004</v>
      </c>
      <c r="I193" s="47">
        <f>I112+I140+I169+I192</f>
        <v>0</v>
      </c>
      <c r="J193" s="47">
        <f>J112+J140+J192</f>
        <v>103106.19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3988594.76</v>
      </c>
      <c r="G197" s="18">
        <v>1661467.16</v>
      </c>
      <c r="H197" s="18">
        <v>30089.77</v>
      </c>
      <c r="I197" s="18">
        <v>114289.94</v>
      </c>
      <c r="J197" s="18">
        <v>13483.35</v>
      </c>
      <c r="K197" s="18"/>
      <c r="L197" s="19">
        <f>SUM(F197:K197)</f>
        <v>5807924.9799999995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1328748.3400000001</v>
      </c>
      <c r="G198" s="18">
        <v>489407.71</v>
      </c>
      <c r="H198" s="18">
        <v>473852.8</v>
      </c>
      <c r="I198" s="18">
        <v>4189.03</v>
      </c>
      <c r="J198" s="18">
        <v>2920.71</v>
      </c>
      <c r="K198" s="18">
        <v>1408</v>
      </c>
      <c r="L198" s="19">
        <f>SUM(F198:K198)</f>
        <v>2300526.59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38287+20327.42</f>
        <v>58614.42</v>
      </c>
      <c r="G200" s="18">
        <v>4747.7700000000004</v>
      </c>
      <c r="H200" s="18">
        <v>4879.5</v>
      </c>
      <c r="I200" s="18">
        <v>5872.3</v>
      </c>
      <c r="J200" s="18">
        <v>791.4</v>
      </c>
      <c r="K200" s="18">
        <v>8685</v>
      </c>
      <c r="L200" s="19">
        <f>SUM(F200:K200)</f>
        <v>83590.39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149180+151175+199860.58</f>
        <v>500215.57999999996</v>
      </c>
      <c r="G202" s="18">
        <v>214791.5</v>
      </c>
      <c r="H202" s="18">
        <f>828+500+2385</f>
        <v>3713</v>
      </c>
      <c r="I202" s="18">
        <v>1954.78</v>
      </c>
      <c r="J202" s="18"/>
      <c r="K202" s="18"/>
      <c r="L202" s="19">
        <f t="shared" ref="L202:L208" si="0">SUM(F202:K202)</f>
        <v>720674.86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140873+143955.56</f>
        <v>284828.56</v>
      </c>
      <c r="G203" s="18">
        <f>23147.01+114955.47</f>
        <v>138102.48000000001</v>
      </c>
      <c r="H203" s="18">
        <f>29699.02+5821.84+114466.79</f>
        <v>149987.65</v>
      </c>
      <c r="I203" s="18">
        <f>267.18+20905.44+50002.97</f>
        <v>71175.59</v>
      </c>
      <c r="J203" s="18">
        <v>66989.179999999993</v>
      </c>
      <c r="K203" s="18"/>
      <c r="L203" s="19">
        <f t="shared" si="0"/>
        <v>711083.46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24620.3</v>
      </c>
      <c r="G204" s="18">
        <v>1994.24</v>
      </c>
      <c r="H204" s="18">
        <f>24632.73+412505</f>
        <v>437137.73</v>
      </c>
      <c r="I204" s="18"/>
      <c r="J204" s="18"/>
      <c r="K204" s="18">
        <v>5786.32</v>
      </c>
      <c r="L204" s="19">
        <f t="shared" si="0"/>
        <v>469538.58999999997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543148.19999999995</v>
      </c>
      <c r="G205" s="18">
        <f>252114.69+6997.63</f>
        <v>259112.32000000001</v>
      </c>
      <c r="H205" s="18">
        <v>7757.84</v>
      </c>
      <c r="I205" s="18">
        <v>3098.21</v>
      </c>
      <c r="J205" s="18"/>
      <c r="K205" s="18">
        <v>1507</v>
      </c>
      <c r="L205" s="19">
        <f t="shared" si="0"/>
        <v>814623.57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432638.2</v>
      </c>
      <c r="G207" s="18">
        <v>134553.96</v>
      </c>
      <c r="H207" s="18">
        <f>242112.04+56255+2898.44</f>
        <v>301265.48000000004</v>
      </c>
      <c r="I207" s="18">
        <f>207204.84+7335.12</f>
        <v>214539.96</v>
      </c>
      <c r="J207" s="18">
        <v>50513.2</v>
      </c>
      <c r="K207" s="18"/>
      <c r="L207" s="19">
        <f t="shared" si="0"/>
        <v>1133510.8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572596.64+160175.42+7880.27+7967.03+41297.95</f>
        <v>789917.31</v>
      </c>
      <c r="I208" s="18"/>
      <c r="J208" s="18"/>
      <c r="K208" s="18"/>
      <c r="L208" s="19">
        <f t="shared" si="0"/>
        <v>789917.31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>
        <v>1107.95</v>
      </c>
      <c r="L209" s="19">
        <f>SUM(F209:K209)</f>
        <v>1107.95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7161408.3599999994</v>
      </c>
      <c r="G211" s="41">
        <f t="shared" si="1"/>
        <v>2904177.14</v>
      </c>
      <c r="H211" s="41">
        <f t="shared" si="1"/>
        <v>2198601.08</v>
      </c>
      <c r="I211" s="41">
        <f t="shared" si="1"/>
        <v>415119.81</v>
      </c>
      <c r="J211" s="41">
        <f t="shared" si="1"/>
        <v>134697.84</v>
      </c>
      <c r="K211" s="41">
        <f t="shared" si="1"/>
        <v>18494.27</v>
      </c>
      <c r="L211" s="41">
        <f t="shared" si="1"/>
        <v>12832498.499999998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>
        <v>2800</v>
      </c>
      <c r="I250" s="18">
        <f>4694.17+15051.46</f>
        <v>19745.629999999997</v>
      </c>
      <c r="J250" s="18">
        <v>2447.4</v>
      </c>
      <c r="K250" s="18"/>
      <c r="L250" s="19">
        <f t="shared" ref="L250:L255" si="6">SUM(F250:K250)</f>
        <v>24993.03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326741.94</v>
      </c>
      <c r="I255" s="18"/>
      <c r="J255" s="18"/>
      <c r="K255" s="18"/>
      <c r="L255" s="19">
        <f t="shared" si="6"/>
        <v>326741.94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329541.94</v>
      </c>
      <c r="I256" s="41">
        <f t="shared" si="7"/>
        <v>19745.629999999997</v>
      </c>
      <c r="J256" s="41">
        <f t="shared" si="7"/>
        <v>2447.4</v>
      </c>
      <c r="K256" s="41">
        <f t="shared" si="7"/>
        <v>0</v>
      </c>
      <c r="L256" s="41">
        <f>SUM(F256:K256)</f>
        <v>351734.97000000003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7161408.3599999994</v>
      </c>
      <c r="G257" s="41">
        <f t="shared" si="8"/>
        <v>2904177.14</v>
      </c>
      <c r="H257" s="41">
        <f t="shared" si="8"/>
        <v>2528143.02</v>
      </c>
      <c r="I257" s="41">
        <f t="shared" si="8"/>
        <v>434865.44</v>
      </c>
      <c r="J257" s="41">
        <f t="shared" si="8"/>
        <v>137145.24</v>
      </c>
      <c r="K257" s="41">
        <f t="shared" si="8"/>
        <v>18494.27</v>
      </c>
      <c r="L257" s="41">
        <f t="shared" si="8"/>
        <v>13184233.469999999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118672.87</v>
      </c>
      <c r="L260" s="19">
        <f>SUM(F260:K260)</f>
        <v>118672.87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16103.96</v>
      </c>
      <c r="L261" s="19">
        <f>SUM(F261:K261)</f>
        <v>16103.96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234776.83</v>
      </c>
      <c r="L270" s="41">
        <f t="shared" si="9"/>
        <v>234776.83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7161408.3599999994</v>
      </c>
      <c r="G271" s="42">
        <f t="shared" si="11"/>
        <v>2904177.14</v>
      </c>
      <c r="H271" s="42">
        <f t="shared" si="11"/>
        <v>2528143.02</v>
      </c>
      <c r="I271" s="42">
        <f t="shared" si="11"/>
        <v>434865.44</v>
      </c>
      <c r="J271" s="42">
        <f t="shared" si="11"/>
        <v>137145.24</v>
      </c>
      <c r="K271" s="42">
        <f t="shared" si="11"/>
        <v>253271.09999999998</v>
      </c>
      <c r="L271" s="42">
        <f t="shared" si="11"/>
        <v>13419010.299999999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166508.06</v>
      </c>
      <c r="G276" s="18">
        <v>48427.62</v>
      </c>
      <c r="H276" s="18"/>
      <c r="I276" s="18">
        <v>17515.95</v>
      </c>
      <c r="J276" s="18"/>
      <c r="K276" s="18">
        <v>50</v>
      </c>
      <c r="L276" s="19">
        <f>SUM(F276:K276)</f>
        <v>232501.63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104267.55</v>
      </c>
      <c r="G277" s="18">
        <v>34434.25</v>
      </c>
      <c r="H277" s="18">
        <f>9785.18+1695</f>
        <v>11480.18</v>
      </c>
      <c r="I277" s="18">
        <f>19509.34+1022.58</f>
        <v>20531.920000000002</v>
      </c>
      <c r="J277" s="18">
        <v>9062.07</v>
      </c>
      <c r="K277" s="18"/>
      <c r="L277" s="19">
        <f>SUM(F277:K277)</f>
        <v>179775.97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10371.56</v>
      </c>
      <c r="G279" s="18">
        <v>1194.19</v>
      </c>
      <c r="H279" s="18"/>
      <c r="I279" s="18"/>
      <c r="J279" s="18"/>
      <c r="K279" s="18">
        <v>753.31</v>
      </c>
      <c r="L279" s="19">
        <f>SUM(F279:K279)</f>
        <v>12319.06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26880.41</v>
      </c>
      <c r="I282" s="18">
        <v>2745</v>
      </c>
      <c r="J282" s="18"/>
      <c r="K282" s="18"/>
      <c r="L282" s="19">
        <f t="shared" si="12"/>
        <v>29625.41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402.5</v>
      </c>
      <c r="G283" s="18">
        <v>100.67</v>
      </c>
      <c r="H283" s="18">
        <v>211.34</v>
      </c>
      <c r="I283" s="18"/>
      <c r="J283" s="18"/>
      <c r="K283" s="18">
        <v>8252.84</v>
      </c>
      <c r="L283" s="19">
        <f t="shared" si="12"/>
        <v>8967.35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7200</v>
      </c>
      <c r="I287" s="18"/>
      <c r="J287" s="18"/>
      <c r="K287" s="18"/>
      <c r="L287" s="19">
        <f t="shared" si="12"/>
        <v>7200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281549.67</v>
      </c>
      <c r="G290" s="42">
        <f t="shared" si="13"/>
        <v>84156.73</v>
      </c>
      <c r="H290" s="42">
        <f t="shared" si="13"/>
        <v>45771.929999999993</v>
      </c>
      <c r="I290" s="42">
        <f t="shared" si="13"/>
        <v>40792.870000000003</v>
      </c>
      <c r="J290" s="42">
        <f t="shared" si="13"/>
        <v>9062.07</v>
      </c>
      <c r="K290" s="42">
        <f t="shared" si="13"/>
        <v>9056.15</v>
      </c>
      <c r="L290" s="41">
        <f t="shared" si="13"/>
        <v>470389.41999999993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240</v>
      </c>
      <c r="G332" s="18">
        <v>18.37</v>
      </c>
      <c r="H332" s="18"/>
      <c r="I332" s="18"/>
      <c r="J332" s="18"/>
      <c r="K332" s="18"/>
      <c r="L332" s="19">
        <f t="shared" ref="L332:L337" si="18">SUM(F332:K332)</f>
        <v>258.37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240</v>
      </c>
      <c r="G337" s="41">
        <f t="shared" si="19"/>
        <v>18.37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258.37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281789.67</v>
      </c>
      <c r="G338" s="41">
        <f t="shared" si="20"/>
        <v>84175.099999999991</v>
      </c>
      <c r="H338" s="41">
        <f t="shared" si="20"/>
        <v>45771.929999999993</v>
      </c>
      <c r="I338" s="41">
        <f t="shared" si="20"/>
        <v>40792.870000000003</v>
      </c>
      <c r="J338" s="41">
        <f t="shared" si="20"/>
        <v>9062.07</v>
      </c>
      <c r="K338" s="41">
        <f t="shared" si="20"/>
        <v>9056.15</v>
      </c>
      <c r="L338" s="41">
        <f t="shared" si="20"/>
        <v>470647.78999999992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281789.67</v>
      </c>
      <c r="G352" s="41">
        <f>G338</f>
        <v>84175.099999999991</v>
      </c>
      <c r="H352" s="41">
        <f>H338</f>
        <v>45771.929999999993</v>
      </c>
      <c r="I352" s="41">
        <f>I338</f>
        <v>40792.870000000003</v>
      </c>
      <c r="J352" s="41">
        <f>J338</f>
        <v>9062.07</v>
      </c>
      <c r="K352" s="47">
        <f>K338+K351</f>
        <v>9056.15</v>
      </c>
      <c r="L352" s="41">
        <f>L338+L351</f>
        <v>470647.78999999992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55862.32+95518.33+2812+7387.99</f>
        <v>161580.63999999998</v>
      </c>
      <c r="G358" s="18">
        <f>780.3+320.01</f>
        <v>1100.31</v>
      </c>
      <c r="H358" s="18">
        <v>2548.42</v>
      </c>
      <c r="I358" s="18">
        <f>6430.31+103676.98+20760.49+2125.5+3493.21+32333.24</f>
        <v>168819.72999999998</v>
      </c>
      <c r="J358" s="18">
        <v>7015.01</v>
      </c>
      <c r="K358" s="18">
        <v>1504.5</v>
      </c>
      <c r="L358" s="13">
        <f>SUM(F358:K358)</f>
        <v>342568.61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161580.63999999998</v>
      </c>
      <c r="G362" s="47">
        <f t="shared" si="22"/>
        <v>1100.31</v>
      </c>
      <c r="H362" s="47">
        <f t="shared" si="22"/>
        <v>2548.42</v>
      </c>
      <c r="I362" s="47">
        <f t="shared" si="22"/>
        <v>168819.72999999998</v>
      </c>
      <c r="J362" s="47">
        <f t="shared" si="22"/>
        <v>7015.01</v>
      </c>
      <c r="K362" s="47">
        <f t="shared" si="22"/>
        <v>1504.5</v>
      </c>
      <c r="L362" s="47">
        <f t="shared" si="22"/>
        <v>342568.61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103676.98+20760.49+32333.24</f>
        <v>156770.71</v>
      </c>
      <c r="G367" s="18"/>
      <c r="H367" s="18"/>
      <c r="I367" s="56">
        <f>SUM(F367:H367)</f>
        <v>156770.71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6430.31+2125.5+3493.21</f>
        <v>12049.02</v>
      </c>
      <c r="G368" s="63"/>
      <c r="H368" s="63"/>
      <c r="I368" s="56">
        <f>SUM(F368:H368)</f>
        <v>12049.02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168819.72999999998</v>
      </c>
      <c r="G369" s="47">
        <f>SUM(G367:G368)</f>
        <v>0</v>
      </c>
      <c r="H369" s="47">
        <f>SUM(H367:H368)</f>
        <v>0</v>
      </c>
      <c r="I369" s="47">
        <f>SUM(I367:I368)</f>
        <v>168819.72999999998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25000</v>
      </c>
      <c r="H396" s="18">
        <f>-609.14+162.84+1320.8+662.78</f>
        <v>1537.28</v>
      </c>
      <c r="I396" s="18"/>
      <c r="J396" s="24" t="s">
        <v>286</v>
      </c>
      <c r="K396" s="24" t="s">
        <v>286</v>
      </c>
      <c r="L396" s="56">
        <f t="shared" si="26"/>
        <v>26537.279999999999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75000</v>
      </c>
      <c r="H397" s="18">
        <f>-50.6+135.01+934.93+549.57</f>
        <v>1568.9099999999999</v>
      </c>
      <c r="I397" s="18"/>
      <c r="J397" s="24" t="s">
        <v>286</v>
      </c>
      <c r="K397" s="24" t="s">
        <v>286</v>
      </c>
      <c r="L397" s="56">
        <f t="shared" si="26"/>
        <v>76568.91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3106.1899999999996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103106.19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3106.1899999999996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103106.19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182313.48</v>
      </c>
      <c r="H440" s="18"/>
      <c r="I440" s="56">
        <f t="shared" si="33"/>
        <v>182313.48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182313.48</v>
      </c>
      <c r="H446" s="13">
        <f>SUM(H439:H445)</f>
        <v>0</v>
      </c>
      <c r="I446" s="13">
        <f>SUM(I439:I445)</f>
        <v>182313.48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182313.48</v>
      </c>
      <c r="H459" s="18"/>
      <c r="I459" s="56">
        <f t="shared" si="34"/>
        <v>182313.48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182313.48</v>
      </c>
      <c r="H460" s="83">
        <f>SUM(H454:H459)</f>
        <v>0</v>
      </c>
      <c r="I460" s="83">
        <f>SUM(I454:I459)</f>
        <v>182313.48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182313.48</v>
      </c>
      <c r="H461" s="42">
        <f>H452+H460</f>
        <v>0</v>
      </c>
      <c r="I461" s="42">
        <f>I452+I460</f>
        <v>182313.48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715217.51</v>
      </c>
      <c r="G465" s="18">
        <v>34575.29</v>
      </c>
      <c r="H465" s="18">
        <v>0</v>
      </c>
      <c r="I465" s="18"/>
      <c r="J465" s="18">
        <v>79207.289999999994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13430744.57</v>
      </c>
      <c r="G468" s="18">
        <v>380997.28</v>
      </c>
      <c r="H468" s="18">
        <v>470647.79</v>
      </c>
      <c r="I468" s="18"/>
      <c r="J468" s="18">
        <v>103106.19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13430744.57</v>
      </c>
      <c r="G470" s="53">
        <f>SUM(G468:G469)</f>
        <v>380997.28</v>
      </c>
      <c r="H470" s="53">
        <f>SUM(H468:H469)</f>
        <v>470647.79</v>
      </c>
      <c r="I470" s="53">
        <f>SUM(I468:I469)</f>
        <v>0</v>
      </c>
      <c r="J470" s="53">
        <f>SUM(J468:J469)</f>
        <v>103106.19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13419010.300000001</v>
      </c>
      <c r="G472" s="18">
        <v>342568.61</v>
      </c>
      <c r="H472" s="18">
        <v>470647.79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13419010.300000001</v>
      </c>
      <c r="G474" s="53">
        <f>SUM(G472:G473)</f>
        <v>342568.61</v>
      </c>
      <c r="H474" s="53">
        <f>SUM(H472:H473)</f>
        <v>470647.79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726951.77999999933</v>
      </c>
      <c r="G476" s="53">
        <f>(G465+G470)- G474</f>
        <v>73003.960000000021</v>
      </c>
      <c r="H476" s="53">
        <f>(H465+H470)- H474</f>
        <v>0</v>
      </c>
      <c r="I476" s="53">
        <f>(I465+I470)- I474</f>
        <v>0</v>
      </c>
      <c r="J476" s="53">
        <f>(J465+J470)- J474</f>
        <v>182313.47999999998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1780093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1.26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913074.4</v>
      </c>
      <c r="G495" s="18"/>
      <c r="H495" s="18"/>
      <c r="I495" s="18"/>
      <c r="J495" s="18"/>
      <c r="K495" s="53">
        <f>SUM(F495:J495)</f>
        <v>913074.4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130925.25</v>
      </c>
      <c r="G497" s="18"/>
      <c r="H497" s="18"/>
      <c r="I497" s="18"/>
      <c r="J497" s="18"/>
      <c r="K497" s="53">
        <f t="shared" si="35"/>
        <v>130925.25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794401.53</v>
      </c>
      <c r="G498" s="204"/>
      <c r="H498" s="204"/>
      <c r="I498" s="204"/>
      <c r="J498" s="204"/>
      <c r="K498" s="205">
        <f t="shared" si="35"/>
        <v>794401.53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41981.37</v>
      </c>
      <c r="G499" s="18"/>
      <c r="H499" s="18"/>
      <c r="I499" s="18"/>
      <c r="J499" s="18"/>
      <c r="K499" s="53">
        <f t="shared" si="35"/>
        <v>41981.37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836382.9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836382.9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18672.87</v>
      </c>
      <c r="G501" s="204"/>
      <c r="H501" s="204"/>
      <c r="I501" s="204"/>
      <c r="J501" s="204"/>
      <c r="K501" s="205">
        <f t="shared" si="35"/>
        <v>18672.87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10757.1</v>
      </c>
      <c r="G502" s="18"/>
      <c r="H502" s="18"/>
      <c r="I502" s="18"/>
      <c r="J502" s="18"/>
      <c r="K502" s="53">
        <f t="shared" si="35"/>
        <v>10757.1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29429.97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29429.97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645920.04+404255.01+6572+12728+237.42+60984.82</f>
        <v>1130697.29</v>
      </c>
      <c r="G521" s="18">
        <f>321167.83+35048.91+34434.25</f>
        <v>390650.99</v>
      </c>
      <c r="H521" s="18">
        <f>473852.8-H536+9785.18</f>
        <v>479852.16</v>
      </c>
      <c r="I521" s="18">
        <f>4189.03+19509.34</f>
        <v>23698.37</v>
      </c>
      <c r="J521" s="18">
        <f>2920.71+8463.07</f>
        <v>11383.779999999999</v>
      </c>
      <c r="K521" s="18"/>
      <c r="L521" s="88">
        <f>SUM(F521:K521)</f>
        <v>2036282.59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1130697.29</v>
      </c>
      <c r="G524" s="108">
        <f t="shared" ref="G524:L524" si="36">SUM(G521:G523)</f>
        <v>390650.99</v>
      </c>
      <c r="H524" s="108">
        <f t="shared" si="36"/>
        <v>479852.16</v>
      </c>
      <c r="I524" s="108">
        <f t="shared" si="36"/>
        <v>23698.37</v>
      </c>
      <c r="J524" s="108">
        <f t="shared" si="36"/>
        <v>11383.779999999999</v>
      </c>
      <c r="K524" s="108">
        <f t="shared" si="36"/>
        <v>0</v>
      </c>
      <c r="L524" s="89">
        <f t="shared" si="36"/>
        <v>2036282.59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139528+199860.58</f>
        <v>339388.57999999996</v>
      </c>
      <c r="G526" s="18">
        <f>70115.7+136609.09</f>
        <v>206724.78999999998</v>
      </c>
      <c r="H526" s="18"/>
      <c r="I526" s="18"/>
      <c r="J526" s="18"/>
      <c r="K526" s="18"/>
      <c r="L526" s="88">
        <f>SUM(F526:K526)</f>
        <v>546113.36999999988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339388.57999999996</v>
      </c>
      <c r="G529" s="89">
        <f t="shared" ref="G529:L529" si="37">SUM(G526:G528)</f>
        <v>206724.78999999998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546113.36999999988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87818+51227.29+23745.31</f>
        <v>162790.6</v>
      </c>
      <c r="G531" s="18">
        <f>42758.28+20317</f>
        <v>63075.28</v>
      </c>
      <c r="H531" s="18"/>
      <c r="I531" s="18"/>
      <c r="J531" s="18"/>
      <c r="K531" s="18">
        <f>1408+664.27+2593.8+54.67+9.52</f>
        <v>4730.26</v>
      </c>
      <c r="L531" s="88">
        <f>SUM(F531:K531)</f>
        <v>230596.14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162790.6</v>
      </c>
      <c r="G534" s="89">
        <f t="shared" ref="G534:L534" si="38">SUM(G531:G533)</f>
        <v>63075.28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4730.26</v>
      </c>
      <c r="L534" s="89">
        <f t="shared" si="38"/>
        <v>230596.14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3785.82</v>
      </c>
      <c r="I536" s="18"/>
      <c r="J536" s="18"/>
      <c r="K536" s="18"/>
      <c r="L536" s="88">
        <f>SUM(F536:K536)</f>
        <v>3785.82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3785.82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3785.82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160175.42000000001</v>
      </c>
      <c r="I541" s="18"/>
      <c r="J541" s="18"/>
      <c r="K541" s="18"/>
      <c r="L541" s="88">
        <f>SUM(F541:K541)</f>
        <v>160175.42000000001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160175.42000000001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160175.42000000001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1632876.4700000002</v>
      </c>
      <c r="G545" s="89">
        <f t="shared" ref="G545:L545" si="41">G524+G529+G534+G539+G544</f>
        <v>660451.06000000006</v>
      </c>
      <c r="H545" s="89">
        <f t="shared" si="41"/>
        <v>643813.4</v>
      </c>
      <c r="I545" s="89">
        <f t="shared" si="41"/>
        <v>23698.37</v>
      </c>
      <c r="J545" s="89">
        <f t="shared" si="41"/>
        <v>11383.779999999999</v>
      </c>
      <c r="K545" s="89">
        <f t="shared" si="41"/>
        <v>4730.26</v>
      </c>
      <c r="L545" s="89">
        <f t="shared" si="41"/>
        <v>2976953.34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2036282.59</v>
      </c>
      <c r="G549" s="87">
        <f>L526</f>
        <v>546113.36999999988</v>
      </c>
      <c r="H549" s="87">
        <f>L531</f>
        <v>230596.14</v>
      </c>
      <c r="I549" s="87">
        <f>L536</f>
        <v>3785.82</v>
      </c>
      <c r="J549" s="87">
        <f>L541</f>
        <v>160175.42000000001</v>
      </c>
      <c r="K549" s="87">
        <f>SUM(F549:J549)</f>
        <v>2976953.34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2036282.59</v>
      </c>
      <c r="G552" s="89">
        <f t="shared" si="42"/>
        <v>546113.36999999988</v>
      </c>
      <c r="H552" s="89">
        <f t="shared" si="42"/>
        <v>230596.14</v>
      </c>
      <c r="I552" s="89">
        <f t="shared" si="42"/>
        <v>3785.82</v>
      </c>
      <c r="J552" s="89">
        <f t="shared" si="42"/>
        <v>160175.42000000001</v>
      </c>
      <c r="K552" s="89">
        <f t="shared" si="42"/>
        <v>2976953.34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4800</v>
      </c>
      <c r="G579" s="18"/>
      <c r="H579" s="18"/>
      <c r="I579" s="87">
        <f t="shared" si="47"/>
        <v>4800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263740.40999999997</v>
      </c>
      <c r="G582" s="18"/>
      <c r="H582" s="18"/>
      <c r="I582" s="87">
        <f t="shared" si="47"/>
        <v>263740.40999999997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572596.64</v>
      </c>
      <c r="I591" s="18"/>
      <c r="J591" s="18"/>
      <c r="K591" s="104">
        <f t="shared" ref="K591:K597" si="48">SUM(H591:J591)</f>
        <v>572596.64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160175.42000000001</v>
      </c>
      <c r="I592" s="18"/>
      <c r="J592" s="18"/>
      <c r="K592" s="104">
        <f t="shared" si="48"/>
        <v>160175.42000000001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7880.27</v>
      </c>
      <c r="I594" s="18"/>
      <c r="J594" s="18"/>
      <c r="K594" s="104">
        <f t="shared" si="48"/>
        <v>7880.27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7967.03</v>
      </c>
      <c r="I595" s="18"/>
      <c r="J595" s="18"/>
      <c r="K595" s="104">
        <f t="shared" si="48"/>
        <v>7967.03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41297.949999999997</v>
      </c>
      <c r="I597" s="18"/>
      <c r="J597" s="18"/>
      <c r="K597" s="104">
        <f t="shared" si="48"/>
        <v>41297.949999999997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789917.31</v>
      </c>
      <c r="I598" s="108">
        <f>SUM(I591:I597)</f>
        <v>0</v>
      </c>
      <c r="J598" s="108">
        <f>SUM(J591:J597)</f>
        <v>0</v>
      </c>
      <c r="K598" s="108">
        <f>SUM(K591:K597)</f>
        <v>789917.31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33838.800000000003</v>
      </c>
      <c r="I603" s="18"/>
      <c r="J603" s="18"/>
      <c r="K603" s="104">
        <f>SUM(H603:J603)</f>
        <v>33838.800000000003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9062.07+100859.04+2447.4</f>
        <v>112368.50999999998</v>
      </c>
      <c r="I604" s="18"/>
      <c r="J604" s="18"/>
      <c r="K604" s="104">
        <f>SUM(H604:J604)</f>
        <v>112368.50999999998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146207.31</v>
      </c>
      <c r="I605" s="108">
        <f>SUM(I602:I604)</f>
        <v>0</v>
      </c>
      <c r="J605" s="108">
        <f>SUM(J602:J604)</f>
        <v>0</v>
      </c>
      <c r="K605" s="108">
        <f>SUM(K602:K604)</f>
        <v>146207.31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960877.01</v>
      </c>
      <c r="H617" s="109">
        <f>SUM(F52)</f>
        <v>960877.01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77395.430000000008</v>
      </c>
      <c r="H618" s="109">
        <f>SUM(G52)</f>
        <v>77395.430000000008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81823.33</v>
      </c>
      <c r="H619" s="109">
        <f>SUM(H52)</f>
        <v>81823.33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182313.48</v>
      </c>
      <c r="H621" s="109">
        <f>SUM(J52)</f>
        <v>182313.48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726951.78</v>
      </c>
      <c r="H622" s="109">
        <f>F476</f>
        <v>726951.77999999933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73003.960000000006</v>
      </c>
      <c r="H623" s="109">
        <f>G476</f>
        <v>73003.960000000021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182313.48</v>
      </c>
      <c r="H626" s="109">
        <f>J476</f>
        <v>182313.47999999998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13430744.57</v>
      </c>
      <c r="H627" s="104">
        <f>SUM(F468)</f>
        <v>13430744.57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380997.27999999997</v>
      </c>
      <c r="H628" s="104">
        <f>SUM(G468)</f>
        <v>380997.28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470647.79000000004</v>
      </c>
      <c r="H629" s="104">
        <f>SUM(H468)</f>
        <v>470647.79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103106.19</v>
      </c>
      <c r="H631" s="104">
        <f>SUM(J468)</f>
        <v>103106.19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13419010.299999999</v>
      </c>
      <c r="H632" s="104">
        <f>SUM(F472)</f>
        <v>13419010.300000001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470647.78999999992</v>
      </c>
      <c r="H633" s="104">
        <f>SUM(H472)</f>
        <v>470647.79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168819.72999999998</v>
      </c>
      <c r="H634" s="104">
        <f>I369</f>
        <v>168819.72999999998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342568.61</v>
      </c>
      <c r="H635" s="104">
        <f>SUM(G472)</f>
        <v>342568.61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103106.19</v>
      </c>
      <c r="H637" s="164">
        <f>SUM(J468)</f>
        <v>103106.19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182313.48</v>
      </c>
      <c r="H640" s="104">
        <f>SUM(G461)</f>
        <v>182313.48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182313.48</v>
      </c>
      <c r="H642" s="104">
        <f>SUM(I461)</f>
        <v>182313.48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3106.19</v>
      </c>
      <c r="H644" s="104">
        <f>H408</f>
        <v>3106.1899999999996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103106.19</v>
      </c>
      <c r="H646" s="104">
        <f>L408</f>
        <v>103106.19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789917.31</v>
      </c>
      <c r="H647" s="104">
        <f>L208+L226+L244</f>
        <v>789917.31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146207.31</v>
      </c>
      <c r="H648" s="104">
        <f>(J257+J338)-(J255+J336)</f>
        <v>146207.31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789917.31</v>
      </c>
      <c r="H649" s="104">
        <f>H598</f>
        <v>789917.31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13645456.529999997</v>
      </c>
      <c r="G660" s="19">
        <f>(L229+L309+L359)</f>
        <v>0</v>
      </c>
      <c r="H660" s="19">
        <f>(L247+L328+L360)</f>
        <v>0</v>
      </c>
      <c r="I660" s="19">
        <f>SUM(F660:H660)</f>
        <v>13645456.529999997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90998.78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90998.78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797117.31</v>
      </c>
      <c r="G662" s="19">
        <f>(L226+L306)-(J226+J306)</f>
        <v>0</v>
      </c>
      <c r="H662" s="19">
        <f>(L244+L325)-(J244+J325)</f>
        <v>0</v>
      </c>
      <c r="I662" s="19">
        <f>SUM(F662:H662)</f>
        <v>797117.31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414747.72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414747.72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12342592.719999997</v>
      </c>
      <c r="G664" s="19">
        <f>G660-SUM(G661:G663)</f>
        <v>0</v>
      </c>
      <c r="H664" s="19">
        <f>H660-SUM(H661:H663)</f>
        <v>0</v>
      </c>
      <c r="I664" s="19">
        <f>I660-SUM(I661:I663)</f>
        <v>12342592.719999997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680.67</v>
      </c>
      <c r="G665" s="248"/>
      <c r="H665" s="248"/>
      <c r="I665" s="19">
        <f>SUM(F665:H665)</f>
        <v>680.67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18133.009999999998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18133.009999999998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18133.009999999998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18133.009999999998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SEABROOK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4155102.82</v>
      </c>
      <c r="C9" s="229">
        <f>'DOE25'!G197+'DOE25'!G215+'DOE25'!G233+'DOE25'!G276+'DOE25'!G295+'DOE25'!G314</f>
        <v>1709894.78</v>
      </c>
    </row>
    <row r="10" spans="1:3" x14ac:dyDescent="0.2">
      <c r="A10" t="s">
        <v>773</v>
      </c>
      <c r="B10" s="240">
        <f>53793.6+1949991.34+1594304.88</f>
        <v>3598089.8200000003</v>
      </c>
      <c r="C10" s="240">
        <f>22081.55+664.29+113.04+299.55+13203.75+4115.21+1623600.08</f>
        <v>1664077.47</v>
      </c>
    </row>
    <row r="11" spans="1:3" x14ac:dyDescent="0.2">
      <c r="A11" t="s">
        <v>774</v>
      </c>
      <c r="B11" s="240">
        <f>76862.21+146325.43+75043.91+89924.16+18337.5</f>
        <v>406493.21000000008</v>
      </c>
      <c r="C11" s="240">
        <f>5207.53+28579.01</f>
        <v>33786.54</v>
      </c>
    </row>
    <row r="12" spans="1:3" x14ac:dyDescent="0.2">
      <c r="A12" t="s">
        <v>775</v>
      </c>
      <c r="B12" s="240">
        <f>35852.25+76587.48+38080.06</f>
        <v>150519.78999999998</v>
      </c>
      <c r="C12" s="240">
        <f>2742.7+9288.07</f>
        <v>12030.77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4155102.8200000003</v>
      </c>
      <c r="C13" s="231">
        <f>SUM(C10:C12)</f>
        <v>1709894.78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1433015.8900000001</v>
      </c>
      <c r="C18" s="229">
        <f>'DOE25'!G198+'DOE25'!G216+'DOE25'!G234+'DOE25'!G277+'DOE25'!G296+'DOE25'!G315</f>
        <v>523841.96</v>
      </c>
    </row>
    <row r="19" spans="1:3" x14ac:dyDescent="0.2">
      <c r="A19" t="s">
        <v>773</v>
      </c>
      <c r="B19" s="240">
        <f>6572+12728+645920.04</f>
        <v>665220.04</v>
      </c>
      <c r="C19" s="240">
        <f>25740.14+863.02+149.15+249.77+1476.45+321167.83</f>
        <v>349646.36000000004</v>
      </c>
    </row>
    <row r="20" spans="1:3" x14ac:dyDescent="0.2">
      <c r="A20" t="s">
        <v>774</v>
      </c>
      <c r="B20" s="240">
        <f>237.42+60984.82+404255.01</f>
        <v>465477.25</v>
      </c>
      <c r="C20" s="240">
        <f>4139.2+35048.91</f>
        <v>39188.11</v>
      </c>
    </row>
    <row r="21" spans="1:3" x14ac:dyDescent="0.2">
      <c r="A21" t="s">
        <v>775</v>
      </c>
      <c r="B21" s="240">
        <f>23745.31+87818+139528+51227.29</f>
        <v>302318.59999999998</v>
      </c>
      <c r="C21" s="240">
        <f>1816.52+42758.28+20317+70115.69</f>
        <v>135007.49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1433015.8900000001</v>
      </c>
      <c r="C22" s="231">
        <f>SUM(C19:C21)</f>
        <v>523841.96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68985.98</v>
      </c>
      <c r="C36" s="235">
        <f>'DOE25'!G200+'DOE25'!G218+'DOE25'!G236+'DOE25'!G279+'DOE25'!G298+'DOE25'!G317</f>
        <v>5941.9600000000009</v>
      </c>
    </row>
    <row r="37" spans="1:3" x14ac:dyDescent="0.2">
      <c r="A37" t="s">
        <v>773</v>
      </c>
      <c r="B37" s="240">
        <f>10371.56+20327.42</f>
        <v>30698.979999999996</v>
      </c>
      <c r="C37" s="240">
        <f>1194.19+1646.52</f>
        <v>2840.71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f>38287</f>
        <v>38287</v>
      </c>
      <c r="C39" s="240">
        <v>3101.25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68985.98</v>
      </c>
      <c r="C40" s="231">
        <f>SUM(C37:C39)</f>
        <v>5941.96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SEABROOK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8192041.959999999</v>
      </c>
      <c r="D5" s="20">
        <f>SUM('DOE25'!L197:L200)+SUM('DOE25'!L215:L218)+SUM('DOE25'!L233:L236)-F5-G5</f>
        <v>8164753.4999999991</v>
      </c>
      <c r="E5" s="243"/>
      <c r="F5" s="255">
        <f>SUM('DOE25'!J197:J200)+SUM('DOE25'!J215:J218)+SUM('DOE25'!J233:J236)</f>
        <v>17195.460000000003</v>
      </c>
      <c r="G5" s="53">
        <f>SUM('DOE25'!K197:K200)+SUM('DOE25'!K215:K218)+SUM('DOE25'!K233:K236)</f>
        <v>10093</v>
      </c>
      <c r="H5" s="259"/>
    </row>
    <row r="6" spans="1:9" x14ac:dyDescent="0.2">
      <c r="A6" s="32">
        <v>2100</v>
      </c>
      <c r="B6" t="s">
        <v>795</v>
      </c>
      <c r="C6" s="245">
        <f t="shared" si="0"/>
        <v>720674.86</v>
      </c>
      <c r="D6" s="20">
        <f>'DOE25'!L202+'DOE25'!L220+'DOE25'!L238-F6-G6</f>
        <v>720674.86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711083.46</v>
      </c>
      <c r="D7" s="20">
        <f>'DOE25'!L203+'DOE25'!L221+'DOE25'!L239-F7-G7</f>
        <v>644094.28</v>
      </c>
      <c r="E7" s="243"/>
      <c r="F7" s="255">
        <f>'DOE25'!J203+'DOE25'!J221+'DOE25'!J239</f>
        <v>66989.179999999993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275435.99</v>
      </c>
      <c r="D8" s="243"/>
      <c r="E8" s="20">
        <f>'DOE25'!L204+'DOE25'!L222+'DOE25'!L240-F8-G8-D9-D11</f>
        <v>269649.67</v>
      </c>
      <c r="F8" s="255">
        <f>'DOE25'!J204+'DOE25'!J222+'DOE25'!J240</f>
        <v>0</v>
      </c>
      <c r="G8" s="53">
        <f>'DOE25'!K204+'DOE25'!K222+'DOE25'!K240</f>
        <v>5786.32</v>
      </c>
      <c r="H8" s="259"/>
    </row>
    <row r="9" spans="1:9" x14ac:dyDescent="0.2">
      <c r="A9" s="32">
        <v>2310</v>
      </c>
      <c r="B9" t="s">
        <v>812</v>
      </c>
      <c r="C9" s="245">
        <f t="shared" si="0"/>
        <v>55039.35</v>
      </c>
      <c r="D9" s="244">
        <v>55039.35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12450</v>
      </c>
      <c r="D10" s="243"/>
      <c r="E10" s="244">
        <v>12450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139063.25</v>
      </c>
      <c r="D11" s="244">
        <v>139063.25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814623.57</v>
      </c>
      <c r="D12" s="20">
        <f>'DOE25'!L205+'DOE25'!L223+'DOE25'!L241-F12-G12</f>
        <v>813116.57</v>
      </c>
      <c r="E12" s="243"/>
      <c r="F12" s="255">
        <f>'DOE25'!J205+'DOE25'!J223+'DOE25'!J241</f>
        <v>0</v>
      </c>
      <c r="G12" s="53">
        <f>'DOE25'!K205+'DOE25'!K223+'DOE25'!K241</f>
        <v>1507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1133510.8</v>
      </c>
      <c r="D14" s="20">
        <f>'DOE25'!L207+'DOE25'!L225+'DOE25'!L243-F14-G14</f>
        <v>1082997.6000000001</v>
      </c>
      <c r="E14" s="243"/>
      <c r="F14" s="255">
        <f>'DOE25'!J207+'DOE25'!J225+'DOE25'!J243</f>
        <v>50513.2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789917.31</v>
      </c>
      <c r="D15" s="20">
        <f>'DOE25'!L208+'DOE25'!L226+'DOE25'!L244-F15-G15</f>
        <v>789917.31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1107.95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1107.95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326741.94</v>
      </c>
      <c r="D22" s="243"/>
      <c r="E22" s="243"/>
      <c r="F22" s="255">
        <f>'DOE25'!L255+'DOE25'!L336</f>
        <v>326741.94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134776.82999999999</v>
      </c>
      <c r="D25" s="243"/>
      <c r="E25" s="243"/>
      <c r="F25" s="258"/>
      <c r="G25" s="256"/>
      <c r="H25" s="257">
        <f>'DOE25'!L260+'DOE25'!L261+'DOE25'!L341+'DOE25'!L342</f>
        <v>134776.82999999999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185797.9</v>
      </c>
      <c r="D29" s="20">
        <f>'DOE25'!L358+'DOE25'!L359+'DOE25'!L360-'DOE25'!I367-F29-G29</f>
        <v>177278.38999999998</v>
      </c>
      <c r="E29" s="243"/>
      <c r="F29" s="255">
        <f>'DOE25'!J358+'DOE25'!J359+'DOE25'!J360</f>
        <v>7015.01</v>
      </c>
      <c r="G29" s="53">
        <f>'DOE25'!K358+'DOE25'!K359+'DOE25'!K360</f>
        <v>1504.5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470389.41999999993</v>
      </c>
      <c r="D31" s="20">
        <f>'DOE25'!L290+'DOE25'!L309+'DOE25'!L328+'DOE25'!L333+'DOE25'!L334+'DOE25'!L335-F31-G31</f>
        <v>452271.1999999999</v>
      </c>
      <c r="E31" s="243"/>
      <c r="F31" s="255">
        <f>'DOE25'!J290+'DOE25'!J309+'DOE25'!J328+'DOE25'!J333+'DOE25'!J334+'DOE25'!J335</f>
        <v>9062.07</v>
      </c>
      <c r="G31" s="53">
        <f>'DOE25'!K290+'DOE25'!K309+'DOE25'!K328+'DOE25'!K333+'DOE25'!K334+'DOE25'!K335</f>
        <v>9056.15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13039206.309999999</v>
      </c>
      <c r="E33" s="246">
        <f>SUM(E5:E31)</f>
        <v>282099.67</v>
      </c>
      <c r="F33" s="246">
        <f>SUM(F5:F31)</f>
        <v>477516.86000000004</v>
      </c>
      <c r="G33" s="246">
        <f>SUM(G5:G31)</f>
        <v>29054.92</v>
      </c>
      <c r="H33" s="246">
        <f>SUM(H5:H31)</f>
        <v>134776.82999999999</v>
      </c>
    </row>
    <row r="35" spans="2:8" ht="12" thickBot="1" x14ac:dyDescent="0.25">
      <c r="B35" s="253" t="s">
        <v>841</v>
      </c>
      <c r="D35" s="254">
        <f>E33</f>
        <v>282099.67</v>
      </c>
      <c r="E35" s="249"/>
    </row>
    <row r="36" spans="2:8" ht="12" thickTop="1" x14ac:dyDescent="0.2">
      <c r="B36" t="s">
        <v>809</v>
      </c>
      <c r="D36" s="20">
        <f>D33</f>
        <v>13039206.309999999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K10" sqref="K1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SEABROOK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907245.79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464.82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182313.48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25706.53</v>
      </c>
      <c r="D11" s="95">
        <f>'DOE25'!G12</f>
        <v>56116.800000000003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8115.98</v>
      </c>
      <c r="D12" s="95">
        <f>'DOE25'!G13</f>
        <v>14439.24</v>
      </c>
      <c r="E12" s="95">
        <f>'DOE25'!H13</f>
        <v>81823.33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17354.89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6839.39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1989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960877.01</v>
      </c>
      <c r="D18" s="41">
        <f>SUM(D8:D17)</f>
        <v>77395.430000000008</v>
      </c>
      <c r="E18" s="41">
        <f>SUM(E8:E17)</f>
        <v>81823.33</v>
      </c>
      <c r="F18" s="41">
        <f>SUM(F8:F17)</f>
        <v>0</v>
      </c>
      <c r="G18" s="41">
        <f>SUM(G8:G17)</f>
        <v>182313.48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186342.91999999998</v>
      </c>
      <c r="D22" s="95">
        <f>'DOE25'!G23</f>
        <v>0</v>
      </c>
      <c r="E22" s="95">
        <f>'DOE25'!H23</f>
        <v>81823.33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407.45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12503.64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10091.290000000001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24987.38</v>
      </c>
      <c r="D29" s="95">
        <f>'DOE25'!G30</f>
        <v>3984.02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233925.23</v>
      </c>
      <c r="D31" s="41">
        <f>SUM(D21:D30)</f>
        <v>4391.47</v>
      </c>
      <c r="E31" s="41">
        <f>SUM(E21:E30)</f>
        <v>81823.33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6839.39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1989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66164.570000000007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284334.11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182313.48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72129.89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293498.78000000003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726951.78</v>
      </c>
      <c r="D50" s="41">
        <f>SUM(D34:D49)</f>
        <v>73003.960000000006</v>
      </c>
      <c r="E50" s="41">
        <f>SUM(E34:E49)</f>
        <v>0</v>
      </c>
      <c r="F50" s="41">
        <f>SUM(F34:F49)</f>
        <v>0</v>
      </c>
      <c r="G50" s="41">
        <f>SUM(G34:G49)</f>
        <v>182313.48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960877.01</v>
      </c>
      <c r="D51" s="41">
        <f>D50+D31</f>
        <v>77395.430000000008</v>
      </c>
      <c r="E51" s="41">
        <f>E50+E31</f>
        <v>81823.33</v>
      </c>
      <c r="F51" s="41">
        <f>F50+F31</f>
        <v>0</v>
      </c>
      <c r="G51" s="41">
        <f>G50+G31</f>
        <v>182313.48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10253665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4103.42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3106.19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90998.78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5758.24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9861.66</v>
      </c>
      <c r="D62" s="130">
        <f>SUM(D57:D61)</f>
        <v>90998.78</v>
      </c>
      <c r="E62" s="130">
        <f>SUM(E57:E61)</f>
        <v>0</v>
      </c>
      <c r="F62" s="130">
        <f>SUM(F57:F61)</f>
        <v>0</v>
      </c>
      <c r="G62" s="130">
        <f>SUM(G57:G61)</f>
        <v>3106.19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10263526.66</v>
      </c>
      <c r="D63" s="22">
        <f>D56+D62</f>
        <v>90998.78</v>
      </c>
      <c r="E63" s="22">
        <f>E56+E62</f>
        <v>0</v>
      </c>
      <c r="F63" s="22">
        <f>F56+F62</f>
        <v>0</v>
      </c>
      <c r="G63" s="22">
        <f>G56+G62</f>
        <v>3106.19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628862.84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2395856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15328.94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3040047.78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37601.86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59233.279999999999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5687.7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96835.14</v>
      </c>
      <c r="D78" s="130">
        <f>SUM(D72:D77)</f>
        <v>5687.7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3136882.92</v>
      </c>
      <c r="D81" s="130">
        <f>SUM(D79:D80)+D78+D70</f>
        <v>5687.7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30334.99</v>
      </c>
      <c r="D88" s="95">
        <f>SUM('DOE25'!G153:G161)</f>
        <v>284310.8</v>
      </c>
      <c r="E88" s="95">
        <f>SUM('DOE25'!H153:H161)</f>
        <v>470647.79000000004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30334.99</v>
      </c>
      <c r="D91" s="131">
        <f>SUM(D85:D90)</f>
        <v>284310.8</v>
      </c>
      <c r="E91" s="131">
        <f>SUM(E85:E90)</f>
        <v>470647.79000000004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13430744.57</v>
      </c>
      <c r="D104" s="86">
        <f>D63+D81+D91+D103</f>
        <v>380997.27999999997</v>
      </c>
      <c r="E104" s="86">
        <f>E63+E81+E91+E103</f>
        <v>470647.79000000004</v>
      </c>
      <c r="F104" s="86">
        <f>F63+F81+F91+F103</f>
        <v>0</v>
      </c>
      <c r="G104" s="86">
        <f>G63+G81+G103</f>
        <v>103106.19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5807924.9799999995</v>
      </c>
      <c r="D109" s="24" t="s">
        <v>286</v>
      </c>
      <c r="E109" s="95">
        <f>('DOE25'!L276)+('DOE25'!L295)+('DOE25'!L314)</f>
        <v>232501.63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2300526.59</v>
      </c>
      <c r="D110" s="24" t="s">
        <v>286</v>
      </c>
      <c r="E110" s="95">
        <f>('DOE25'!L277)+('DOE25'!L296)+('DOE25'!L315)</f>
        <v>179775.97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83590.39</v>
      </c>
      <c r="D112" s="24" t="s">
        <v>286</v>
      </c>
      <c r="E112" s="95">
        <f>+('DOE25'!L279)+('DOE25'!L298)+('DOE25'!L317)</f>
        <v>12319.06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24993.03</v>
      </c>
      <c r="D113" s="24" t="s">
        <v>286</v>
      </c>
      <c r="E113" s="95">
        <f>+'DOE25'!L332</f>
        <v>258.37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8217034.9899999993</v>
      </c>
      <c r="D115" s="86">
        <f>SUM(D109:D114)</f>
        <v>0</v>
      </c>
      <c r="E115" s="86">
        <f>SUM(E109:E114)</f>
        <v>424855.02999999997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720674.86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711083.46</v>
      </c>
      <c r="D119" s="24" t="s">
        <v>286</v>
      </c>
      <c r="E119" s="95">
        <f>+('DOE25'!L282)+('DOE25'!L301)+('DOE25'!L320)</f>
        <v>29625.41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469538.58999999997</v>
      </c>
      <c r="D120" s="24" t="s">
        <v>286</v>
      </c>
      <c r="E120" s="95">
        <f>+('DOE25'!L283)+('DOE25'!L302)+('DOE25'!L321)</f>
        <v>8967.35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814623.57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1133510.8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789917.31</v>
      </c>
      <c r="D124" s="24" t="s">
        <v>286</v>
      </c>
      <c r="E124" s="95">
        <f>+('DOE25'!L287)+('DOE25'!L306)+('DOE25'!L325)</f>
        <v>7200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1107.95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342568.61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4640456.54</v>
      </c>
      <c r="D128" s="86">
        <f>SUM(D118:D127)</f>
        <v>342568.61</v>
      </c>
      <c r="E128" s="86">
        <f>SUM(E118:E127)</f>
        <v>45792.76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326741.94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118672.87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16103.96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103106.19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-3106.1900000000023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561518.77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13419010.299999999</v>
      </c>
      <c r="D145" s="86">
        <f>(D115+D128+D144)</f>
        <v>342568.61</v>
      </c>
      <c r="E145" s="86">
        <f>(E115+E128+E144)</f>
        <v>470647.79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April 2010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April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1780093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1.26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913074.4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913074.4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130925.25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130925.25</v>
      </c>
    </row>
    <row r="159" spans="1:9" x14ac:dyDescent="0.2">
      <c r="A159" s="22" t="s">
        <v>35</v>
      </c>
      <c r="B159" s="137">
        <f>'DOE25'!F498</f>
        <v>794401.53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794401.53</v>
      </c>
    </row>
    <row r="160" spans="1:9" x14ac:dyDescent="0.2">
      <c r="A160" s="22" t="s">
        <v>36</v>
      </c>
      <c r="B160" s="137">
        <f>'DOE25'!F499</f>
        <v>41981.37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41981.37</v>
      </c>
    </row>
    <row r="161" spans="1:7" x14ac:dyDescent="0.2">
      <c r="A161" s="22" t="s">
        <v>37</v>
      </c>
      <c r="B161" s="137">
        <f>'DOE25'!F500</f>
        <v>836382.9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836382.9</v>
      </c>
    </row>
    <row r="162" spans="1:7" x14ac:dyDescent="0.2">
      <c r="A162" s="22" t="s">
        <v>38</v>
      </c>
      <c r="B162" s="137">
        <f>'DOE25'!F501</f>
        <v>18672.87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18672.87</v>
      </c>
    </row>
    <row r="163" spans="1:7" x14ac:dyDescent="0.2">
      <c r="A163" s="22" t="s">
        <v>39</v>
      </c>
      <c r="B163" s="137">
        <f>'DOE25'!F502</f>
        <v>10757.1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10757.1</v>
      </c>
    </row>
    <row r="164" spans="1:7" x14ac:dyDescent="0.2">
      <c r="A164" s="22" t="s">
        <v>246</v>
      </c>
      <c r="B164" s="137">
        <f>'DOE25'!F503</f>
        <v>29429.97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29429.97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SEABROOK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18133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18133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6040427</v>
      </c>
      <c r="D10" s="182">
        <f>ROUND((C10/$C$28)*100,1)</f>
        <v>44.4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2480303</v>
      </c>
      <c r="D11" s="182">
        <f>ROUND((C11/$C$28)*100,1)</f>
        <v>18.2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95909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720675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740709</v>
      </c>
      <c r="D16" s="182">
        <f t="shared" si="0"/>
        <v>5.4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479614</v>
      </c>
      <c r="D17" s="182">
        <f t="shared" si="0"/>
        <v>3.5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814624</v>
      </c>
      <c r="D18" s="182">
        <f t="shared" si="0"/>
        <v>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1133511</v>
      </c>
      <c r="D20" s="182">
        <f t="shared" si="0"/>
        <v>8.3000000000000007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797117</v>
      </c>
      <c r="D21" s="182">
        <f t="shared" si="0"/>
        <v>5.9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25251</v>
      </c>
      <c r="D23" s="182">
        <f t="shared" si="0"/>
        <v>0.2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16104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251570.22</v>
      </c>
      <c r="D27" s="182">
        <f t="shared" si="0"/>
        <v>1.9</v>
      </c>
    </row>
    <row r="28" spans="1:4" x14ac:dyDescent="0.2">
      <c r="B28" s="187" t="s">
        <v>717</v>
      </c>
      <c r="C28" s="180">
        <f>SUM(C10:C27)</f>
        <v>13595814.220000001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326742</v>
      </c>
    </row>
    <row r="30" spans="1:4" x14ac:dyDescent="0.2">
      <c r="B30" s="187" t="s">
        <v>723</v>
      </c>
      <c r="C30" s="180">
        <f>SUM(C28:C29)</f>
        <v>13922556.220000001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118673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10253665</v>
      </c>
      <c r="D35" s="182">
        <f t="shared" ref="D35:D40" si="1">ROUND((C35/$C$41)*100,1)</f>
        <v>72.2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12967.849999999627</v>
      </c>
      <c r="D36" s="182">
        <f t="shared" si="1"/>
        <v>0.1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3024719</v>
      </c>
      <c r="D37" s="182">
        <f t="shared" si="1"/>
        <v>21.3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117852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785294</v>
      </c>
      <c r="D39" s="182">
        <f t="shared" si="1"/>
        <v>5.5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14194497.85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SEABROOK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5"/>
  <sheetViews>
    <sheetView workbookViewId="0">
      <selection activeCell="Q36" sqref="Q36"/>
    </sheetView>
  </sheetViews>
  <sheetFormatPr defaultRowHeight="11.25" x14ac:dyDescent="0.2"/>
  <sheetData>
    <row r="35" spans="17:17" x14ac:dyDescent="0.2">
      <c r="Q35">
        <f>2563606.44-2329424.57-208475.34</f>
        <v>25706.530000000115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2018-08-28T12:48:54Z</cp:lastPrinted>
  <dcterms:created xsi:type="dcterms:W3CDTF">1997-12-04T19:04:30Z</dcterms:created>
  <dcterms:modified xsi:type="dcterms:W3CDTF">2018-11-30T16:04:26Z</dcterms:modified>
</cp:coreProperties>
</file>