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00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97" i="1" l="1"/>
  <c r="G179" i="1"/>
  <c r="H400" i="1"/>
  <c r="H98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/>
  <c r="L244" i="1"/>
  <c r="F17" i="13"/>
  <c r="G17" i="13"/>
  <c r="D17" i="13"/>
  <c r="C17" i="13"/>
  <c r="L251" i="1"/>
  <c r="F18" i="13"/>
  <c r="G18" i="13"/>
  <c r="L252" i="1"/>
  <c r="D18" i="13"/>
  <c r="C18" i="13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/>
  <c r="L285" i="1"/>
  <c r="E122" i="2"/>
  <c r="L286" i="1"/>
  <c r="L287" i="1"/>
  <c r="L288" i="1"/>
  <c r="E125" i="2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/>
  <c r="L326" i="1"/>
  <c r="L333" i="1"/>
  <c r="E114" i="2"/>
  <c r="L334" i="1"/>
  <c r="L335" i="1"/>
  <c r="L260" i="1"/>
  <c r="C131" i="2"/>
  <c r="L261" i="1"/>
  <c r="C25" i="10"/>
  <c r="L341" i="1"/>
  <c r="L342" i="1"/>
  <c r="L255" i="1"/>
  <c r="C130" i="2"/>
  <c r="L336" i="1"/>
  <c r="C29" i="10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/>
  <c r="C138" i="2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C35" i="10"/>
  <c r="G60" i="1"/>
  <c r="H60" i="1"/>
  <c r="I60" i="1"/>
  <c r="F56" i="2"/>
  <c r="F79" i="1"/>
  <c r="C57" i="2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C85" i="2"/>
  <c r="F162" i="1"/>
  <c r="F169" i="1"/>
  <c r="G147" i="1"/>
  <c r="G162" i="1"/>
  <c r="H147" i="1"/>
  <c r="H162" i="1"/>
  <c r="H169" i="1"/>
  <c r="I147" i="1"/>
  <c r="I162" i="1"/>
  <c r="L250" i="1"/>
  <c r="L332" i="1"/>
  <c r="L254" i="1"/>
  <c r="L268" i="1"/>
  <c r="L269" i="1"/>
  <c r="C143" i="2"/>
  <c r="L349" i="1"/>
  <c r="C26" i="10"/>
  <c r="L350" i="1"/>
  <c r="I665" i="1"/>
  <c r="I670" i="1"/>
  <c r="I669" i="1"/>
  <c r="C42" i="10"/>
  <c r="C32" i="10"/>
  <c r="L374" i="1"/>
  <c r="F130" i="2"/>
  <c r="F144" i="2" s="1"/>
  <c r="F145" i="2" s="1"/>
  <c r="L375" i="1"/>
  <c r="L376" i="1"/>
  <c r="L377" i="1"/>
  <c r="L378" i="1"/>
  <c r="L379" i="1"/>
  <c r="L380" i="1"/>
  <c r="B2" i="10"/>
  <c r="L344" i="1"/>
  <c r="E134" i="2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I552" i="1"/>
  <c r="L541" i="1"/>
  <c r="J549" i="1"/>
  <c r="L542" i="1"/>
  <c r="J550" i="1"/>
  <c r="L543" i="1"/>
  <c r="J551" i="1"/>
  <c r="J552" i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F18" i="2"/>
  <c r="I440" i="1"/>
  <c r="J10" i="1"/>
  <c r="G9" i="2"/>
  <c r="C10" i="2"/>
  <c r="C11" i="2"/>
  <c r="D11" i="2"/>
  <c r="D18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D31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F78" i="2"/>
  <c r="F81" i="2"/>
  <c r="C73" i="2"/>
  <c r="F73" i="2"/>
  <c r="C74" i="2"/>
  <c r="C75" i="2"/>
  <c r="C76" i="2"/>
  <c r="E76" i="2"/>
  <c r="F76" i="2"/>
  <c r="C77" i="2"/>
  <c r="D77" i="2"/>
  <c r="D78" i="2"/>
  <c r="D81" i="2"/>
  <c r="E77" i="2"/>
  <c r="F77" i="2"/>
  <c r="G77" i="2"/>
  <c r="G78" i="2"/>
  <c r="G81" i="2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D91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D115" i="2"/>
  <c r="F115" i="2"/>
  <c r="G115" i="2"/>
  <c r="E120" i="2"/>
  <c r="E123" i="2"/>
  <c r="E124" i="2"/>
  <c r="C125" i="2"/>
  <c r="F128" i="2"/>
  <c r="G128" i="2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G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G620" i="1"/>
  <c r="F32" i="1"/>
  <c r="F52" i="1"/>
  <c r="H617" i="1" s="1"/>
  <c r="G32" i="1"/>
  <c r="G52" i="1"/>
  <c r="H618" i="1"/>
  <c r="H32" i="1"/>
  <c r="I32" i="1"/>
  <c r="H51" i="1"/>
  <c r="I51" i="1"/>
  <c r="I52" i="1"/>
  <c r="H620" i="1"/>
  <c r="F177" i="1"/>
  <c r="I177" i="1"/>
  <c r="F183" i="1"/>
  <c r="G183" i="1"/>
  <c r="G192" i="1"/>
  <c r="H183" i="1"/>
  <c r="I183" i="1"/>
  <c r="J183" i="1"/>
  <c r="J192" i="1"/>
  <c r="F188" i="1"/>
  <c r="F192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/>
  <c r="H644" i="1"/>
  <c r="J644" i="1"/>
  <c r="I401" i="1"/>
  <c r="F407" i="1"/>
  <c r="G407" i="1"/>
  <c r="H407" i="1"/>
  <c r="I407" i="1"/>
  <c r="F408" i="1"/>
  <c r="G408" i="1"/>
  <c r="H645" i="1"/>
  <c r="I408" i="1"/>
  <c r="L413" i="1"/>
  <c r="L414" i="1"/>
  <c r="L415" i="1"/>
  <c r="L419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/>
  <c r="L430" i="1"/>
  <c r="L431" i="1"/>
  <c r="L432" i="1"/>
  <c r="F433" i="1"/>
  <c r="G433" i="1"/>
  <c r="H433" i="1"/>
  <c r="I433" i="1"/>
  <c r="J433" i="1"/>
  <c r="F446" i="1"/>
  <c r="G446" i="1"/>
  <c r="G640" i="1"/>
  <c r="H446" i="1"/>
  <c r="I446" i="1"/>
  <c r="G642" i="1"/>
  <c r="F452" i="1"/>
  <c r="G452" i="1"/>
  <c r="H452" i="1"/>
  <c r="I452" i="1"/>
  <c r="F460" i="1"/>
  <c r="G460" i="1"/>
  <c r="H460" i="1"/>
  <c r="H461" i="1"/>
  <c r="H641" i="1"/>
  <c r="F461" i="1"/>
  <c r="G461" i="1"/>
  <c r="H640" i="1"/>
  <c r="F470" i="1"/>
  <c r="G470" i="1"/>
  <c r="H470" i="1"/>
  <c r="I470" i="1"/>
  <c r="I476" i="1"/>
  <c r="H625" i="1"/>
  <c r="J470" i="1"/>
  <c r="F474" i="1"/>
  <c r="F476" i="1"/>
  <c r="H622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/>
  <c r="L558" i="1"/>
  <c r="L559" i="1"/>
  <c r="F560" i="1"/>
  <c r="G560" i="1"/>
  <c r="H560" i="1"/>
  <c r="I560" i="1"/>
  <c r="J560" i="1"/>
  <c r="K560" i="1"/>
  <c r="K571" i="1"/>
  <c r="L562" i="1"/>
  <c r="L563" i="1"/>
  <c r="L564" i="1"/>
  <c r="L565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/>
  <c r="I570" i="1"/>
  <c r="I571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G643" i="1"/>
  <c r="J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/>
  <c r="D62" i="2"/>
  <c r="D63" i="2"/>
  <c r="D50" i="2"/>
  <c r="G156" i="2"/>
  <c r="G62" i="2"/>
  <c r="D19" i="13"/>
  <c r="C19" i="13"/>
  <c r="E78" i="2"/>
  <c r="E81" i="2"/>
  <c r="J571" i="1"/>
  <c r="I169" i="1"/>
  <c r="J140" i="1"/>
  <c r="G22" i="2"/>
  <c r="H140" i="1"/>
  <c r="H25" i="13"/>
  <c r="C25" i="13"/>
  <c r="H192" i="1"/>
  <c r="E16" i="13"/>
  <c r="C16" i="13"/>
  <c r="G36" i="2"/>
  <c r="H33" i="13"/>
  <c r="A31" i="12"/>
  <c r="J651" i="1"/>
  <c r="K598" i="1"/>
  <c r="G647" i="1"/>
  <c r="L570" i="1"/>
  <c r="L571" i="1"/>
  <c r="F571" i="1"/>
  <c r="H545" i="1"/>
  <c r="K545" i="1"/>
  <c r="L534" i="1"/>
  <c r="H552" i="1"/>
  <c r="J545" i="1"/>
  <c r="I545" i="1"/>
  <c r="F552" i="1"/>
  <c r="K551" i="1"/>
  <c r="G545" i="1"/>
  <c r="K550" i="1"/>
  <c r="K549" i="1"/>
  <c r="J476" i="1"/>
  <c r="H626" i="1"/>
  <c r="J640" i="1"/>
  <c r="J639" i="1"/>
  <c r="I460" i="1"/>
  <c r="I461" i="1"/>
  <c r="H642" i="1"/>
  <c r="L427" i="1"/>
  <c r="L434" i="1"/>
  <c r="G638" i="1"/>
  <c r="J638" i="1"/>
  <c r="L401" i="1"/>
  <c r="C139" i="2"/>
  <c r="J645" i="1"/>
  <c r="L256" i="1"/>
  <c r="L270" i="1"/>
  <c r="C123" i="2"/>
  <c r="D14" i="13"/>
  <c r="C14" i="13"/>
  <c r="C20" i="10"/>
  <c r="C122" i="2"/>
  <c r="C121" i="2"/>
  <c r="D12" i="13"/>
  <c r="C12" i="13"/>
  <c r="C18" i="10"/>
  <c r="E8" i="13"/>
  <c r="C8" i="13"/>
  <c r="C17" i="10"/>
  <c r="C119" i="2"/>
  <c r="D7" i="13"/>
  <c r="C7" i="13"/>
  <c r="C118" i="2"/>
  <c r="K257" i="1"/>
  <c r="K271" i="1"/>
  <c r="I257" i="1"/>
  <c r="I271" i="1"/>
  <c r="C112" i="2"/>
  <c r="C12" i="10"/>
  <c r="C110" i="2"/>
  <c r="G257" i="1"/>
  <c r="G271" i="1"/>
  <c r="L211" i="1"/>
  <c r="J257" i="1"/>
  <c r="J271" i="1"/>
  <c r="H257" i="1"/>
  <c r="H271" i="1"/>
  <c r="C109" i="2"/>
  <c r="L247" i="1"/>
  <c r="F257" i="1"/>
  <c r="F271" i="1"/>
  <c r="D5" i="13"/>
  <c r="C5" i="13"/>
  <c r="L229" i="1"/>
  <c r="C91" i="2"/>
  <c r="C78" i="2"/>
  <c r="C70" i="2"/>
  <c r="C81" i="2"/>
  <c r="F112" i="1"/>
  <c r="C36" i="10"/>
  <c r="J622" i="1"/>
  <c r="C18" i="2"/>
  <c r="H112" i="1"/>
  <c r="E31" i="2"/>
  <c r="H52" i="1"/>
  <c r="H619" i="1"/>
  <c r="J619" i="1"/>
  <c r="H476" i="1"/>
  <c r="H624" i="1"/>
  <c r="J624" i="1"/>
  <c r="L328" i="1"/>
  <c r="K338" i="1"/>
  <c r="C16" i="10"/>
  <c r="E118" i="2"/>
  <c r="A40" i="12"/>
  <c r="E112" i="2"/>
  <c r="L309" i="1"/>
  <c r="C11" i="10"/>
  <c r="H338" i="1"/>
  <c r="H352" i="1"/>
  <c r="G338" i="1"/>
  <c r="G352" i="1"/>
  <c r="F338" i="1"/>
  <c r="F352" i="1"/>
  <c r="C21" i="10"/>
  <c r="E119" i="2"/>
  <c r="L290" i="1"/>
  <c r="E110" i="2"/>
  <c r="A13" i="12"/>
  <c r="I369" i="1"/>
  <c r="H634" i="1"/>
  <c r="J634" i="1"/>
  <c r="G661" i="1"/>
  <c r="L362" i="1"/>
  <c r="C27" i="10"/>
  <c r="H661" i="1"/>
  <c r="D127" i="2"/>
  <c r="D128" i="2"/>
  <c r="D145" i="2"/>
  <c r="G476" i="1"/>
  <c r="H623" i="1"/>
  <c r="J623" i="1"/>
  <c r="J641" i="1"/>
  <c r="E109" i="2"/>
  <c r="C62" i="2"/>
  <c r="E57" i="2"/>
  <c r="E62" i="2"/>
  <c r="E63" i="2"/>
  <c r="F661" i="1"/>
  <c r="C19" i="10"/>
  <c r="C15" i="10"/>
  <c r="C10" i="10"/>
  <c r="G552" i="1"/>
  <c r="L539" i="1"/>
  <c r="K503" i="1"/>
  <c r="K352" i="1"/>
  <c r="E13" i="13"/>
  <c r="C13" i="13"/>
  <c r="D6" i="13"/>
  <c r="C6" i="13"/>
  <c r="D15" i="13"/>
  <c r="C15" i="13"/>
  <c r="G649" i="1"/>
  <c r="J649" i="1"/>
  <c r="L544" i="1"/>
  <c r="L524" i="1"/>
  <c r="J338" i="1"/>
  <c r="J352" i="1"/>
  <c r="E130" i="2"/>
  <c r="C124" i="2"/>
  <c r="C120" i="2"/>
  <c r="C111" i="2"/>
  <c r="C56" i="2"/>
  <c r="F662" i="1"/>
  <c r="I662" i="1"/>
  <c r="C13" i="10"/>
  <c r="F22" i="13"/>
  <c r="C22" i="13"/>
  <c r="D29" i="13"/>
  <c r="C29" i="13"/>
  <c r="L382" i="1"/>
  <c r="G636" i="1"/>
  <c r="J636" i="1"/>
  <c r="L351" i="1"/>
  <c r="H647" i="1"/>
  <c r="G625" i="1"/>
  <c r="J625" i="1"/>
  <c r="L614" i="1"/>
  <c r="L529" i="1"/>
  <c r="L337" i="1"/>
  <c r="F62" i="2"/>
  <c r="F63" i="2"/>
  <c r="F104" i="2"/>
  <c r="C23" i="10"/>
  <c r="G163" i="2"/>
  <c r="G162" i="2"/>
  <c r="G160" i="2"/>
  <c r="G159" i="2"/>
  <c r="G158" i="2"/>
  <c r="G103" i="2"/>
  <c r="F103" i="2"/>
  <c r="C103" i="2"/>
  <c r="F91" i="2"/>
  <c r="E50" i="2"/>
  <c r="C50" i="2"/>
  <c r="C51" i="2" s="1"/>
  <c r="F31" i="2"/>
  <c r="C31" i="2"/>
  <c r="E18" i="2"/>
  <c r="E144" i="2"/>
  <c r="F50" i="2"/>
  <c r="F51" i="2"/>
  <c r="C24" i="10"/>
  <c r="G31" i="13"/>
  <c r="G33" i="13"/>
  <c r="I338" i="1"/>
  <c r="I352" i="1"/>
  <c r="J650" i="1"/>
  <c r="L407" i="1"/>
  <c r="C140" i="2"/>
  <c r="I192" i="1"/>
  <c r="E91" i="2"/>
  <c r="D51" i="2"/>
  <c r="J654" i="1"/>
  <c r="J653" i="1"/>
  <c r="G21" i="2"/>
  <c r="G31" i="2"/>
  <c r="J32" i="1"/>
  <c r="J434" i="1"/>
  <c r="F434" i="1"/>
  <c r="K434" i="1"/>
  <c r="G134" i="2"/>
  <c r="G144" i="2"/>
  <c r="G145" i="2"/>
  <c r="F31" i="13"/>
  <c r="J193" i="1"/>
  <c r="G646" i="1"/>
  <c r="H193" i="1"/>
  <c r="G629" i="1"/>
  <c r="J629" i="1"/>
  <c r="G169" i="1"/>
  <c r="C39" i="10"/>
  <c r="G140" i="1"/>
  <c r="F140" i="1"/>
  <c r="F193" i="1"/>
  <c r="G627" i="1"/>
  <c r="J627" i="1"/>
  <c r="G63" i="2"/>
  <c r="J618" i="1"/>
  <c r="G42" i="2"/>
  <c r="G50" i="2"/>
  <c r="G51" i="2"/>
  <c r="J51" i="1"/>
  <c r="G16" i="2"/>
  <c r="J19" i="1"/>
  <c r="G621" i="1"/>
  <c r="G18" i="2"/>
  <c r="F545" i="1"/>
  <c r="H434" i="1"/>
  <c r="J620" i="1"/>
  <c r="D103" i="2"/>
  <c r="D104" i="2"/>
  <c r="I140" i="1"/>
  <c r="I193" i="1"/>
  <c r="G630" i="1"/>
  <c r="J630" i="1"/>
  <c r="A22" i="12"/>
  <c r="J652" i="1"/>
  <c r="J642" i="1"/>
  <c r="G571" i="1"/>
  <c r="I434" i="1"/>
  <c r="G434" i="1"/>
  <c r="I663" i="1"/>
  <c r="J647" i="1"/>
  <c r="G104" i="2"/>
  <c r="L545" i="1"/>
  <c r="K552" i="1"/>
  <c r="L408" i="1"/>
  <c r="G637" i="1"/>
  <c r="J637" i="1"/>
  <c r="C141" i="2"/>
  <c r="C144" i="2"/>
  <c r="F33" i="13"/>
  <c r="C128" i="2"/>
  <c r="C115" i="2"/>
  <c r="H660" i="1"/>
  <c r="H664" i="1"/>
  <c r="H667" i="1"/>
  <c r="L257" i="1"/>
  <c r="L271" i="1"/>
  <c r="G632" i="1"/>
  <c r="J632" i="1"/>
  <c r="G660" i="1"/>
  <c r="G664" i="1"/>
  <c r="G672" i="1"/>
  <c r="C5" i="10"/>
  <c r="E104" i="2"/>
  <c r="E51" i="2"/>
  <c r="E128" i="2"/>
  <c r="L338" i="1"/>
  <c r="L352" i="1"/>
  <c r="G633" i="1"/>
  <c r="J633" i="1"/>
  <c r="H648" i="1"/>
  <c r="J648" i="1"/>
  <c r="F660" i="1"/>
  <c r="F664" i="1"/>
  <c r="D31" i="13"/>
  <c r="C31" i="13"/>
  <c r="E115" i="2"/>
  <c r="G635" i="1"/>
  <c r="J635" i="1"/>
  <c r="I661" i="1"/>
  <c r="C63" i="2"/>
  <c r="C104" i="2"/>
  <c r="C28" i="10"/>
  <c r="D22" i="10"/>
  <c r="E33" i="13"/>
  <c r="D35" i="13"/>
  <c r="G631" i="1"/>
  <c r="J631" i="1"/>
  <c r="G193" i="1"/>
  <c r="G628" i="1"/>
  <c r="J628" i="1"/>
  <c r="G626" i="1"/>
  <c r="J626" i="1"/>
  <c r="J52" i="1"/>
  <c r="H621" i="1"/>
  <c r="J621" i="1"/>
  <c r="C38" i="10"/>
  <c r="H646" i="1"/>
  <c r="J646" i="1"/>
  <c r="C145" i="2"/>
  <c r="E145" i="2"/>
  <c r="G667" i="1"/>
  <c r="D33" i="13"/>
  <c r="D36" i="13"/>
  <c r="I660" i="1"/>
  <c r="I664" i="1"/>
  <c r="I672" i="1"/>
  <c r="C7" i="10" s="1"/>
  <c r="D23" i="10"/>
  <c r="H672" i="1"/>
  <c r="C6" i="10"/>
  <c r="D15" i="10"/>
  <c r="D17" i="10"/>
  <c r="D10" i="10"/>
  <c r="D12" i="10"/>
  <c r="D20" i="10"/>
  <c r="D16" i="10"/>
  <c r="D18" i="10"/>
  <c r="C30" i="10"/>
  <c r="D19" i="10"/>
  <c r="D27" i="10"/>
  <c r="D26" i="10"/>
  <c r="D25" i="10"/>
  <c r="D24" i="10"/>
  <c r="D13" i="10"/>
  <c r="D11" i="10"/>
  <c r="D21" i="10"/>
  <c r="F672" i="1"/>
  <c r="C4" i="10"/>
  <c r="F667" i="1"/>
  <c r="C41" i="10"/>
  <c r="D38" i="10"/>
  <c r="I667" i="1"/>
  <c r="D28" i="10"/>
  <c r="D37" i="10"/>
  <c r="D36" i="10"/>
  <c r="D35" i="10"/>
  <c r="D40" i="10"/>
  <c r="D39" i="10"/>
  <c r="D41" i="10"/>
  <c r="J617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<sst xmlns="http://schemas.openxmlformats.org/spreadsheetml/2006/main" count="3957" uniqueCount="913">
  <si>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</si>
  <si>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</si>
  <si>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</si>
  <si>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</si>
  <si>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</si>
  <si>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</si>
  <si>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</si>
  <si>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</si>
  <si>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</si>
  <si>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</si>
  <si>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</si>
  <si>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</si>
  <si>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</si>
  <si>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</si>
  <si>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</si>
  <si>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</si>
  <si>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</si>
  <si>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</si>
  <si>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</si>
  <si>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</si>
  <si>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</si>
  <si>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</si>
  <si>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</si>
  <si>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</si>
  <si>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</si>
  <si>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</si>
  <si>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</si>
  <si>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</si>
  <si>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</si>
  <si>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</si>
  <si>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</si>
  <si>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</si>
  <si>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</si>
  <si>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</si>
  <si>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</si>
  <si>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</si>
  <si>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</si>
  <si>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</si>
  <si>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</si>
  <si>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</si>
  <si>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</si>
  <si>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</si>
  <si>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</si>
  <si>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</si>
  <si>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</si>
  <si>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</si>
  <si>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</si>
  <si>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</si>
  <si>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</si>
  <si>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</si>
  <si>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</si>
  <si>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</si>
  <si>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</si>
  <si>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</si>
  <si>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</si>
  <si>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</si>
  <si>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</si>
  <si>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</si>
  <si>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</si>
  <si>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</si>
  <si>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</si>
  <si>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</si>
  <si>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</si>
  <si>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</si>
  <si>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</si>
  <si>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</si>
  <si>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</si>
  <si>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</si>
  <si>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</si>
  <si>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</si>
  <si>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</si>
  <si>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</si>
  <si>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</si>
  <si>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</si>
  <si>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</si>
  <si>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</si>
  <si>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</si>
  <si>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</si>
  <si>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</si>
  <si>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</si>
  <si>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</si>
  <si>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</si>
  <si>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</si>
  <si>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</si>
  <si>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</si>
  <si>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</si>
  <si>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</si>
  <si>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</si>
  <si>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</si>
  <si>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</si>
  <si>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</si>
  <si>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</si>
  <si>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</si>
  <si>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</si>
  <si>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</si>
  <si>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</si>
  <si>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</si>
  <si>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</si>
  <si>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</si>
  <si>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</si>
  <si>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</si>
  <si>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</si>
  <si>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</si>
  <si>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</si>
  <si>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</si>
  <si>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</si>
  <si>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</si>
  <si>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</si>
  <si>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</si>
  <si>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</si>
  <si>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</si>
  <si>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</si>
  <si>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</si>
  <si>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</si>
  <si>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</si>
  <si>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</si>
  <si>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</si>
  <si>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</si>
  <si>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</si>
  <si>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</si>
  <si>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</si>
  <si>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</si>
  <si>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</si>
  <si>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</si>
  <si>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</si>
  <si>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</si>
  <si>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</si>
  <si>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</si>
  <si>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</si>
  <si>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</si>
  <si>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</si>
  <si>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</si>
  <si>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</si>
  <si>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</si>
  <si>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</si>
  <si>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</si>
  <si>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</si>
  <si>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</si>
  <si>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</si>
  <si>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</si>
  <si>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</si>
  <si>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</si>
  <si>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</si>
  <si>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</si>
  <si>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</si>
  <si>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</si>
  <si>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</si>
  <si>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</si>
  <si>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</si>
  <si>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</si>
  <si>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</si>
  <si>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</si>
  <si>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</si>
  <si>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</si>
  <si>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</si>
  <si>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</si>
  <si>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</si>
  <si>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</si>
  <si>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</si>
  <si>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</si>
  <si>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</si>
  <si>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</si>
  <si>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</si>
  <si>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</si>
  <si>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</si>
  <si>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</si>
  <si>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</si>
  <si>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</si>
  <si>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</si>
  <si>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</si>
  <si>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</si>
  <si>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</si>
  <si>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</si>
  <si>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</si>
  <si>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</si>
  <si>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</si>
  <si>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</si>
  <si>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</si>
  <si>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</si>
  <si>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</si>
  <si>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</si>
  <si>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</si>
  <si>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</si>
  <si>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</si>
  <si>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</si>
  <si>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</si>
  <si>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</si>
  <si>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</si>
  <si>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</si>
  <si>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</si>
  <si>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</si>
  <si>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</si>
  <si>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</si>
  <si>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</si>
  <si>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</si>
  <si>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</si>
  <si>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</si>
  <si>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</si>
  <si>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</si>
  <si>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</si>
  <si>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</si>
  <si>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</si>
  <si>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</si>
  <si>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</si>
  <si>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</si>
  <si>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</si>
  <si>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</si>
  <si>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</si>
  <si>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</si>
  <si>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</si>
  <si>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</si>
  <si>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</si>
  <si>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</si>
  <si>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</si>
  <si>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</si>
  <si>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</si>
  <si>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</si>
  <si>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</si>
  <si>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</si>
  <si>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</si>
  <si>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</si>
  <si>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</si>
  <si>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</si>
  <si>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</si>
  <si>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</si>
  <si>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</si>
  <si>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</si>
  <si>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</si>
  <si>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</si>
  <si>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</si>
  <si>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</si>
  <si>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</si>
  <si>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</si>
  <si>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</si>
  <si>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</si>
  <si>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</si>
  <si>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</si>
  <si>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</si>
  <si>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</si>
  <si>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</si>
  <si>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</si>
  <si>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</si>
  <si>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</si>
  <si>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</si>
  <si>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</si>
  <si>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</si>
  <si>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</si>
  <si>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</si>
  <si>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</si>
  <si>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</si>
  <si>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</si>
  <si>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</si>
  <si>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</si>
  <si>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</si>
  <si>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</si>
  <si>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</si>
  <si>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</si>
  <si>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</si>
  <si>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</si>
  <si>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</si>
  <si>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</si>
  <si>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</si>
  <si>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</si>
  <si>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</si>
  <si>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</si>
  <si>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</si>
  <si>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</si>
  <si>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</si>
  <si>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</si>
  <si>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</si>
  <si>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</si>
  <si>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</si>
  <si>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</si>
  <si>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</si>
  <si>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</si>
  <si>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</si>
  <si>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</si>
  <si>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</si>
  <si>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</si>
  <si>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</si>
  <si>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</si>
  <si>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</si>
  <si>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</si>
  <si>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</si>
  <si>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</si>
  <si>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</si>
  <si>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</si>
  <si>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</si>
  <si>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</si>
  <si>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</si>
  <si>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</si>
  <si>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</si>
  <si>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</si>
  <si>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</si>
  <si>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</si>
  <si>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</si>
  <si>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</si>
  <si>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</si>
  <si>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</si>
  <si>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</si>
  <si>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</si>
  <si>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</si>
  <si>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</si>
  <si>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</si>
  <si>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</si>
  <si>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</si>
  <si>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</si>
  <si>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</si>
  <si>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</si>
  <si>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</si>
  <si>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</si>
  <si>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</si>
  <si>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</si>
  <si>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</si>
  <si>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</si>
  <si>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</si>
  <si>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</si>
  <si>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</si>
  <si>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</si>
  <si>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</si>
  <si>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</si>
  <si>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</si>
  <si>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</si>
  <si>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</si>
  <si>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</si>
  <si>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</si>
  <si>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</si>
  <si>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</si>
  <si>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</si>
  <si>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</si>
  <si>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</si>
  <si>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</si>
  <si>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</si>
  <si>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</si>
  <si>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</si>
  <si>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</si>
  <si>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</si>
  <si>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</si>
  <si>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</si>
  <si>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</si>
  <si>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</si>
  <si>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</si>
  <si>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</si>
  <si>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</si>
  <si>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</si>
  <si>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</si>
  <si>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</si>
  <si>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</si>
  <si>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</si>
  <si>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</si>
  <si>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</si>
  <si>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</si>
  <si>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</si>
  <si>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</si>
  <si>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</si>
  <si>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</si>
  <si>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</si>
  <si>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</si>
  <si>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</si>
  <si>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</si>
  <si>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</si>
  <si>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</si>
  <si>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</si>
  <si>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</si>
  <si>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</si>
  <si>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</si>
  <si>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</si>
  <si>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</si>
  <si>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</si>
  <si>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</si>
  <si>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</si>
  <si>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</si>
  <si>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</si>
  <si>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</si>
  <si>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</si>
  <si>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</si>
  <si>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</si>
  <si>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</si>
  <si>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</si>
  <si>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</si>
  <si>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</si>
  <si>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</si>
  <si>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</si>
  <si>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</si>
  <si>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</si>
  <si>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</si>
  <si>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</si>
  <si>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</si>
  <si>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</si>
  <si>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</si>
  <si>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</si>
  <si>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</si>
  <si>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</si>
  <si>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</si>
  <si>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</si>
  <si>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</si>
  <si>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</si>
  <si>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</si>
  <si>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</si>
  <si>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</si>
  <si>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</si>
  <si>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</si>
  <si>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</si>
  <si>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</si>
  <si>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</si>
  <si>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</si>
  <si>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</si>
  <si>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</si>
  <si>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</si>
  <si>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</si>
  <si>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</si>
  <si>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</si>
  <si>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</si>
  <si>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</si>
  <si>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</si>
  <si>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</si>
  <si>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</si>
  <si>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</si>
  <si>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</si>
  <si>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</si>
  <si>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</si>
  <si>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</si>
  <si>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</si>
  <si>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</si>
  <si>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</si>
  <si>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</si>
  <si>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</si>
  <si>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</si>
  <si>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</si>
  <si>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</si>
  <si>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</si>
  <si>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</si>
  <si>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</si>
  <si>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</si>
  <si>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</si>
  <si>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</si>
  <si>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</si>
  <si>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</si>
  <si>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</si>
  <si>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</si>
  <si>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</si>
  <si>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</si>
  <si>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</si>
  <si>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</si>
  <si>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</si>
  <si>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</si>
  <si>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</si>
  <si>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</si>
  <si>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</si>
  <si>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</si>
  <si>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</si>
  <si>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</si>
  <si>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</si>
  <si>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</si>
  <si>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</si>
  <si>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</si>
  <si>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</si>
  <si>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</si>
  <si>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</si>
  <si>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</si>
  <si>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</si>
  <si>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</si>
  <si>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</si>
  <si>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</si>
  <si>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</si>
  <si>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</si>
  <si>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</si>
  <si>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</si>
  <si>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</si>
  <si>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</si>
  <si>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</si>
  <si>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</si>
  <si>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</si>
  <si>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</si>
  <si>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</si>
  <si>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</si>
  <si>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</si>
  <si>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</si>
  <si>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</si>
  <si>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</si>
  <si>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</si>
  <si>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</si>
  <si>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</si>
  <si>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</si>
  <si>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</si>
  <si>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</si>
  <si>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</si>
  <si>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</si>
  <si>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</si>
  <si>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</si>
  <si>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</si>
  <si>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</si>
  <si>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</si>
  <si>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</si>
  <si>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</si>
  <si>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</si>
  <si>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</si>
  <si>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</si>
  <si>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</si>
  <si>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</si>
  <si>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</si>
  <si>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</si>
  <si>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</si>
  <si>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</si>
  <si>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</si>
  <si>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</si>
  <si>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</si>
  <si>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</si>
  <si>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</si>
  <si>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</si>
  <si>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</si>
  <si>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</si>
  <si>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</si>
  <si>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</si>
  <si>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</si>
  <si>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</si>
  <si>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</si>
  <si>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</si>
  <si>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</si>
  <si>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</si>
  <si>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</si>
  <si>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</si>
  <si>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</si>
  <si>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</si>
  <si>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</si>
  <si>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</si>
  <si>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</si>
  <si>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</si>
  <si>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</si>
  <si>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</si>
  <si>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</si>
  <si>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</si>
  <si>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</si>
  <si>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</si>
  <si>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</si>
  <si>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</si>
  <si>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</si>
  <si>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</si>
  <si>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</si>
  <si>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</si>
  <si>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</si>
  <si>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</si>
  <si>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</si>
  <si>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</si>
  <si>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</si>
  <si>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</si>
  <si>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</si>
  <si>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</si>
  <si>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</si>
  <si>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</si>
  <si>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</si>
  <si>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</si>
  <si>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</si>
  <si>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</si>
  <si>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</si>
  <si>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</si>
  <si>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</si>
  <si>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</si>
  <si>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</si>
  <si>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</si>
  <si>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</si>
  <si>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</si>
  <si>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</si>
  <si>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</si>
  <si>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</si>
  <si>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</si>
  <si>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</si>
  <si>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</si>
  <si>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</si>
  <si>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</si>
  <si>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</si>
  <si>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</si>
  <si>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</si>
  <si>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</si>
  <si>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</si>
  <si>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</si>
  <si>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</si>
  <si>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</si>
  <si>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</si>
  <si>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</si>
  <si>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</si>
  <si>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</si>
  <si>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</si>
  <si>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</si>
  <si>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</si>
  <si>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</si>
  <si>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</si>
  <si>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</si>
  <si>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</si>
  <si>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</si>
  <si>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</si>
  <si>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</si>
  <si>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</si>
  <si>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</si>
  <si>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</si>
  <si>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</si>
  <si>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</si>
  <si>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</si>
  <si>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</si>
  <si>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</si>
  <si>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</si>
  <si>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</si>
  <si>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</si>
  <si>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</si>
  <si>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</si>
  <si>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</si>
  <si>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</si>
  <si>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</si>
  <si>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</si>
  <si>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</si>
  <si>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</si>
  <si>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</si>
  <si>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</si>
  <si>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</si>
  <si>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</si>
  <si>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</si>
  <si>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</si>
  <si>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</si>
  <si>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</si>
  <si>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</si>
  <si>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</si>
  <si>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</si>
  <si>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</si>
  <si>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</si>
  <si>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</si>
  <si>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</si>
  <si>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</si>
  <si>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</si>
  <si>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</si>
  <si>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</si>
  <si>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</si>
  <si>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</si>
  <si>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</si>
  <si>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</si>
  <si>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</si>
  <si>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</si>
  <si>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</si>
  <si>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</si>
  <si>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</si>
  <si>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</si>
  <si>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</si>
  <si>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</si>
  <si>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</si>
  <si>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</si>
  <si>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</si>
  <si>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</si>
  <si>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</si>
  <si>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</si>
  <si>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</si>
  <si>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</si>
  <si>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</si>
  <si>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</si>
  <si>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</si>
  <si>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</si>
  <si>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</si>
  <si>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</si>
  <si>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</si>
  <si>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</si>
  <si>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</si>
  <si>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</si>
  <si>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</si>
  <si>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</si>
  <si>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</si>
  <si>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</si>
  <si>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</si>
  <si>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</si>
  <si>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</si>
  <si>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</si>
  <si>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</si>
  <si>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</si>
  <si>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</si>
  <si>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</si>
  <si>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</si>
  <si>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</si>
  <si>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</si>
  <si>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</si>
  <si>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</si>
  <si>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</si>
  <si>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</si>
  <si>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</si>
  <si>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</si>
  <si>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</si>
  <si>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</si>
  <si>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</si>
  <si>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</si>
  <si>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</si>
  <si>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</si>
  <si>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</si>
  <si>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</si>
  <si>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</si>
  <si>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</si>
  <si>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</si>
  <si>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</si>
  <si>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</si>
  <si>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</si>
  <si>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</si>
  <si>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</si>
  <si>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</si>
  <si>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</si>
  <si>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</si>
  <si>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</si>
  <si>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</si>
  <si>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</si>
  <si>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</si>
  <si>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</si>
  <si>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</si>
  <si>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</si>
  <si>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</si>
  <si>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</si>
  <si>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</si>
  <si>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</si>
  <si>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</si>
  <si>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</si>
  <si>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</si>
  <si>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</si>
  <si>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</si>
  <si>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</si>
  <si>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</si>
  <si>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</si>
  <si>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</si>
  <si>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</si>
  <si>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</si>
  <si>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</si>
  <si>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</si>
  <si>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</si>
  <si>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</si>
  <si>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</si>
  <si>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</si>
  <si>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</si>
  <si>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</si>
  <si>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</si>
  <si>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</si>
  <si>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</si>
  <si>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</si>
  <si>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</si>
  <si>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</si>
  <si>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</si>
  <si>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</si>
  <si>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</si>
  <si>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</si>
  <si>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</si>
  <si>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</si>
  <si>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</si>
  <si>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</si>
  <si>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</si>
  <si>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</si>
  <si>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</si>
  <si>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</si>
  <si>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</si>
  <si>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</si>
  <si>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</si>
  <si>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</si>
  <si>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</si>
  <si>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</si>
  <si>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</si>
  <si>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</si>
  <si>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</si>
  <si>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</si>
  <si>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</si>
  <si>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</si>
  <si>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</si>
  <si>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</si>
  <si>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</si>
  <si>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</si>
  <si>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</si>
  <si>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</si>
  <si>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</si>
  <si>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</si>
  <si>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</si>
  <si>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</si>
  <si>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</si>
  <si>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</si>
  <si>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</si>
  <si>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</si>
  <si>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</si>
  <si>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</si>
  <si>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</si>
  <si>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</si>
  <si>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</si>
  <si>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</si>
  <si>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</si>
  <si>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</si>
  <si>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</si>
  <si>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</si>
  <si>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</si>
  <si>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</si>
  <si>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</si>
  <si>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</si>
  <si>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</si>
  <si>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</si>
  <si>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</si>
  <si>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</si>
  <si>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</si>
  <si>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</si>
  <si>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</si>
  <si>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</si>
  <si>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</si>
  <si>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</si>
  <si>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</si>
  <si>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</si>
  <si>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</si>
  <si>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</si>
  <si>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</si>
  <si>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</si>
  <si>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</si>
  <si>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</si>
  <si>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</si>
  <si>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</si>
  <si>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</si>
  <si>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</si>
  <si>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</si>
  <si>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</si>
  <si>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</si>
  <si>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</si>
  <si>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</si>
  <si>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</si>
  <si>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</si>
  <si>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</si>
  <si>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</si>
  <si>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</si>
  <si>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</si>
  <si>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</si>
  <si>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</si>
  <si>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</si>
  <si>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</si>
  <si>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</si>
  <si>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</si>
  <si>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</si>
  <si>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</si>
  <si>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</si>
  <si>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</si>
  <si>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</si>
  <si>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</si>
  <si>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</si>
  <si>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</si>
  <si>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</si>
  <si>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</si>
  <si>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</si>
  <si>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</si>
  <si>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</si>
  <si>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</si>
  <si>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</si>
  <si>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</si>
  <si>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</si>
  <si>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</si>
  <si>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</si>
  <si>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</si>
  <si>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</si>
  <si>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</si>
  <si>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</si>
  <si>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</si>
  <si>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</si>
  <si>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</si>
  <si>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</si>
  <si>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</si>
  <si>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</si>
  <si>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</si>
  <si>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</si>
  <si>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</si>
  <si>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</si>
  <si>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</si>
  <si>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</si>
  <si>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</si>
  <si>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</si>
  <si>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</si>
  <si>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</si>
  <si>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</si>
  <si>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</si>
  <si>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</si>
  <si>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</si>
  <si>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</si>
  <si>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</si>
  <si>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</si>
  <si>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</si>
  <si>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</si>
  <si>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</si>
  <si>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</si>
  <si>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</si>
  <si>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</si>
  <si>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</si>
  <si>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</si>
  <si>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</si>
  <si>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</si>
  <si>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</si>
  <si>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</si>
  <si>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</si>
  <si>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</si>
  <si>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</si>
  <si>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</si>
  <si>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</si>
  <si>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</si>
  <si>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</si>
  <si>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</si>
  <si>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</si>
  <si>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</si>
  <si>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</si>
  <si>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</si>
  <si>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</si>
  <si>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</si>
  <si>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</si>
  <si>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</si>
  <si>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</si>
  <si>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</si>
  <si>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</si>
  <si>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</si>
  <si>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</si>
  <si>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</si>
  <si>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</si>
  <si>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</si>
  <si>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</si>
  <si>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</si>
  <si>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</si>
  <si>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Shaker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</si>
</sst>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486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586181.99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1522.9</v>
      </c>
      <c r="G10" s="18">
        <v>17732.009999999998</v>
      </c>
      <c r="H10" s="18"/>
      <c r="I10" s="18"/>
      <c r="J10" s="67">
        <f>SUM(I440)</f>
        <v>571152.4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260482.56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1022289.13</v>
      </c>
      <c r="G13" s="18">
        <v>34196.050000000003</v>
      </c>
      <c r="H13" s="18">
        <v>401976.93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17835.8</v>
      </c>
      <c r="G14" s="18">
        <v>1562.6</v>
      </c>
      <c r="H14" s="18">
        <v>4338.1000000000004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174489.1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2062801.4800000002</v>
      </c>
      <c r="G19" s="41">
        <f>SUM(G9:G18)</f>
        <v>53490.659999999996</v>
      </c>
      <c r="H19" s="41">
        <f>SUM(H9:H18)</f>
        <v>406315.02999999997</v>
      </c>
      <c r="I19" s="41">
        <f>SUM(I9:I18)</f>
        <v>0</v>
      </c>
      <c r="J19" s="41">
        <f>SUM(J9:J18)</f>
        <v>571152.4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20413.07</v>
      </c>
      <c r="H22" s="18">
        <v>239380.68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75574.14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136198.65</v>
      </c>
      <c r="G24" s="18">
        <v>197.36</v>
      </c>
      <c r="H24" s="18">
        <v>31775.13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25305.74</v>
      </c>
      <c r="G28" s="18">
        <v>1076.31</v>
      </c>
      <c r="H28" s="18">
        <v>6545.11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58750.16</v>
      </c>
      <c r="G30" s="18">
        <v>10373.14</v>
      </c>
      <c r="H30" s="18">
        <v>128614.11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295828.68999999994</v>
      </c>
      <c r="G32" s="41">
        <f>SUM(G22:G31)</f>
        <v>32059.88</v>
      </c>
      <c r="H32" s="41">
        <f>SUM(H22:H31)</f>
        <v>406315.02999999997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174489.1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21430.78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155000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389983.6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389853.45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571152.4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657646.64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1766972.79</v>
      </c>
      <c r="G51" s="41">
        <f>SUM(G35:G50)</f>
        <v>21430.78</v>
      </c>
      <c r="H51" s="41">
        <f>SUM(H35:H50)</f>
        <v>0</v>
      </c>
      <c r="I51" s="41">
        <f>SUM(I35:I50)</f>
        <v>0</v>
      </c>
      <c r="J51" s="41">
        <f>SUM(J35:J50)</f>
        <v>571152.4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2062801.48</v>
      </c>
      <c r="G52" s="41">
        <f>G51+G32</f>
        <v>53490.66</v>
      </c>
      <c r="H52" s="41">
        <f>H51+H32</f>
        <v>406315.02999999997</v>
      </c>
      <c r="I52" s="41">
        <f>I51+I32</f>
        <v>0</v>
      </c>
      <c r="J52" s="41">
        <f>J51+J32</f>
        <v>571152.4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13524296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13524296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14281.97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2856.24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42164.82</v>
      </c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59303.03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3599.72</v>
      </c>
      <c r="G96" s="18">
        <v>6.56</v>
      </c>
      <c r="H96" s="18"/>
      <c r="I96" s="18"/>
      <c r="J96" s="18">
        <v>8120.54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248415.06-5315.8</f>
        <v>243099.26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>
        <f>163+2088</f>
        <v>2251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1500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32968.89</v>
      </c>
      <c r="G110" s="18"/>
      <c r="H110" s="18">
        <v>83536.639999999999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38068.61</v>
      </c>
      <c r="G111" s="41">
        <f>SUM(G96:G110)</f>
        <v>243105.82</v>
      </c>
      <c r="H111" s="41">
        <f>SUM(H96:H110)</f>
        <v>85787.64</v>
      </c>
      <c r="I111" s="41">
        <f>SUM(I96:I110)</f>
        <v>0</v>
      </c>
      <c r="J111" s="41">
        <f>SUM(J96:J110)</f>
        <v>8120.54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13621667.639999999</v>
      </c>
      <c r="G112" s="41">
        <f>G60+G111</f>
        <v>243105.82</v>
      </c>
      <c r="H112" s="41">
        <f>H60+H79+H94+H111</f>
        <v>85787.64</v>
      </c>
      <c r="I112" s="41">
        <f>I60+I111</f>
        <v>0</v>
      </c>
      <c r="J112" s="41">
        <f>J60+J111</f>
        <v>8120.54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4812944.09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2069842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12527.92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6895314.0099999998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48609.26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8681.4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8674.8700000000008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57290.66</v>
      </c>
      <c r="G136" s="41">
        <f>SUM(G123:G135)</f>
        <v>8674.8700000000008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6952604.6699999999</v>
      </c>
      <c r="G140" s="41">
        <f>G121+SUM(G136:G137)</f>
        <v>8674.8700000000008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356266.33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385324.71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268462.56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109790.82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105056.05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105056.05</v>
      </c>
      <c r="G162" s="41">
        <f>SUM(G150:G161)</f>
        <v>268462.56</v>
      </c>
      <c r="H162" s="41">
        <f>SUM(H150:H161)</f>
        <v>851381.8600000001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105056.05</v>
      </c>
      <c r="G169" s="41">
        <f>G147+G162+SUM(G163:G168)</f>
        <v>268462.56</v>
      </c>
      <c r="H169" s="41">
        <f>H147+H162+SUM(H163:H168)</f>
        <v>851381.8600000001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f>35000+5315.8</f>
        <v>40315.800000000003</v>
      </c>
      <c r="H179" s="18"/>
      <c r="I179" s="18"/>
      <c r="J179" s="18">
        <v>85000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40315.800000000003</v>
      </c>
      <c r="H183" s="41">
        <f>SUM(H179:H182)</f>
        <v>0</v>
      </c>
      <c r="I183" s="41">
        <f>SUM(I179:I182)</f>
        <v>0</v>
      </c>
      <c r="J183" s="41">
        <f>SUM(J179:J182)</f>
        <v>85000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45458.62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45458.62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45458.62</v>
      </c>
      <c r="G192" s="41">
        <f>G183+SUM(G188:G191)</f>
        <v>40315.800000000003</v>
      </c>
      <c r="H192" s="41">
        <f>+H183+SUM(H188:H191)</f>
        <v>0</v>
      </c>
      <c r="I192" s="41">
        <f>I177+I183+SUM(I188:I191)</f>
        <v>0</v>
      </c>
      <c r="J192" s="41">
        <f>J183</f>
        <v>85000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20724786.98</v>
      </c>
      <c r="G193" s="47">
        <f>G112+G140+G169+G192</f>
        <v>560559.05000000005</v>
      </c>
      <c r="H193" s="47">
        <f>H112+H140+H169+H192</f>
        <v>937169.50000000012</v>
      </c>
      <c r="I193" s="47">
        <f>I112+I140+I169+I192</f>
        <v>0</v>
      </c>
      <c r="J193" s="47">
        <f>J112+J140+J192</f>
        <v>93120.54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2197904.61</v>
      </c>
      <c r="G197" s="18">
        <v>1136170.96</v>
      </c>
      <c r="H197" s="18">
        <v>824.36</v>
      </c>
      <c r="I197" s="18">
        <v>74665.5</v>
      </c>
      <c r="J197" s="18">
        <v>7269.46</v>
      </c>
      <c r="K197" s="18"/>
      <c r="L197" s="19">
        <f>SUM(F197:K197)</f>
        <v>3416834.8899999997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672706.79</v>
      </c>
      <c r="G198" s="18">
        <v>357233.58</v>
      </c>
      <c r="H198" s="18">
        <v>8851.9699999999993</v>
      </c>
      <c r="I198" s="18">
        <v>4751.3599999999997</v>
      </c>
      <c r="J198" s="18">
        <v>279.89</v>
      </c>
      <c r="K198" s="18"/>
      <c r="L198" s="19">
        <f>SUM(F198:K198)</f>
        <v>1043823.5900000001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34273.78</v>
      </c>
      <c r="G200" s="18">
        <v>7879.74</v>
      </c>
      <c r="H200" s="18">
        <v>3800</v>
      </c>
      <c r="I200" s="18">
        <v>845.98</v>
      </c>
      <c r="J200" s="18"/>
      <c r="K200" s="18"/>
      <c r="L200" s="19">
        <f>SUM(F200:K200)</f>
        <v>46799.5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525838.07999999996</v>
      </c>
      <c r="G202" s="18">
        <v>270944.65000000002</v>
      </c>
      <c r="H202" s="18">
        <v>208739.55</v>
      </c>
      <c r="I202" s="18">
        <v>8050.66</v>
      </c>
      <c r="J202" s="18">
        <v>423.68</v>
      </c>
      <c r="K202" s="18">
        <v>889.86</v>
      </c>
      <c r="L202" s="19">
        <f t="shared" ref="L202:L208" si="0">SUM(F202:K202)</f>
        <v>1014886.4800000001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183121.5</v>
      </c>
      <c r="G203" s="18">
        <v>123318.56</v>
      </c>
      <c r="H203" s="18">
        <v>97898.05</v>
      </c>
      <c r="I203" s="18">
        <v>30342.3</v>
      </c>
      <c r="J203" s="18">
        <v>22921.61</v>
      </c>
      <c r="K203" s="18"/>
      <c r="L203" s="19">
        <f t="shared" si="0"/>
        <v>457602.01999999996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74912.81</v>
      </c>
      <c r="G204" s="18">
        <v>24907.65</v>
      </c>
      <c r="H204" s="18">
        <v>43194.1</v>
      </c>
      <c r="I204" s="18">
        <v>2086.56</v>
      </c>
      <c r="J204" s="18"/>
      <c r="K204" s="18">
        <v>2543.25</v>
      </c>
      <c r="L204" s="19">
        <f t="shared" si="0"/>
        <v>147644.37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316842.59000000003</v>
      </c>
      <c r="G205" s="18">
        <v>142398.54999999999</v>
      </c>
      <c r="H205" s="18">
        <v>19343.810000000001</v>
      </c>
      <c r="I205" s="18">
        <v>3998.79</v>
      </c>
      <c r="J205" s="18">
        <v>582.04</v>
      </c>
      <c r="K205" s="18">
        <v>2340</v>
      </c>
      <c r="L205" s="19">
        <f t="shared" si="0"/>
        <v>485505.77999999997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79157.929999999993</v>
      </c>
      <c r="G206" s="18">
        <v>29264.06</v>
      </c>
      <c r="H206" s="18">
        <v>10882.32</v>
      </c>
      <c r="I206" s="18">
        <v>1528.36</v>
      </c>
      <c r="J206" s="18">
        <v>3488.46</v>
      </c>
      <c r="K206" s="18">
        <v>764.78</v>
      </c>
      <c r="L206" s="19">
        <f t="shared" si="0"/>
        <v>125085.91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180285.14</v>
      </c>
      <c r="G207" s="18">
        <v>78004.03</v>
      </c>
      <c r="H207" s="18">
        <v>255566.69</v>
      </c>
      <c r="I207" s="18">
        <v>130616.91</v>
      </c>
      <c r="J207" s="18">
        <v>19578.71</v>
      </c>
      <c r="K207" s="18"/>
      <c r="L207" s="19">
        <f t="shared" si="0"/>
        <v>664051.48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303262.7</v>
      </c>
      <c r="I208" s="18"/>
      <c r="J208" s="18"/>
      <c r="K208" s="18"/>
      <c r="L208" s="19">
        <f t="shared" si="0"/>
        <v>303262.7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4265043.2299999995</v>
      </c>
      <c r="G211" s="41">
        <f t="shared" si="1"/>
        <v>2170121.7800000003</v>
      </c>
      <c r="H211" s="41">
        <f t="shared" si="1"/>
        <v>952363.55</v>
      </c>
      <c r="I211" s="41">
        <f t="shared" si="1"/>
        <v>256886.41999999998</v>
      </c>
      <c r="J211" s="41">
        <f t="shared" si="1"/>
        <v>54543.85</v>
      </c>
      <c r="K211" s="41">
        <f t="shared" si="1"/>
        <v>6537.89</v>
      </c>
      <c r="L211" s="41">
        <f t="shared" si="1"/>
        <v>7705496.7199999997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1913272.38</v>
      </c>
      <c r="G215" s="18">
        <v>989197.56</v>
      </c>
      <c r="H215" s="18">
        <v>998.75</v>
      </c>
      <c r="I215" s="18">
        <v>38763.33</v>
      </c>
      <c r="J215" s="18">
        <v>4123.68</v>
      </c>
      <c r="K215" s="18"/>
      <c r="L215" s="19">
        <f>SUM(F215:K215)</f>
        <v>2946355.7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403703.61</v>
      </c>
      <c r="G216" s="18">
        <v>211735.45</v>
      </c>
      <c r="H216" s="18">
        <v>171100.29</v>
      </c>
      <c r="I216" s="18">
        <v>1646.89</v>
      </c>
      <c r="J216" s="18">
        <v>516.79</v>
      </c>
      <c r="K216" s="18"/>
      <c r="L216" s="19">
        <f>SUM(F216:K216)</f>
        <v>788703.03000000014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68078.16</v>
      </c>
      <c r="G218" s="18">
        <v>16613.919999999998</v>
      </c>
      <c r="H218" s="18">
        <v>11759.22</v>
      </c>
      <c r="I218" s="18">
        <v>5872.61</v>
      </c>
      <c r="J218" s="18">
        <v>3600</v>
      </c>
      <c r="K218" s="18">
        <v>2905</v>
      </c>
      <c r="L218" s="19">
        <f>SUM(F218:K218)</f>
        <v>108828.91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351760.27</v>
      </c>
      <c r="G220" s="18">
        <v>175913.77</v>
      </c>
      <c r="H220" s="18">
        <v>19890.580000000002</v>
      </c>
      <c r="I220" s="18">
        <v>7078.16</v>
      </c>
      <c r="J220" s="18">
        <v>131.13999999999999</v>
      </c>
      <c r="K220" s="18">
        <v>804.31</v>
      </c>
      <c r="L220" s="19">
        <f t="shared" ref="L220:L226" si="2">SUM(F220:K220)</f>
        <v>555578.2300000001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135661.35</v>
      </c>
      <c r="G221" s="18">
        <v>76609.39</v>
      </c>
      <c r="H221" s="18">
        <v>67812.009999999995</v>
      </c>
      <c r="I221" s="18">
        <v>19806.759999999998</v>
      </c>
      <c r="J221" s="18">
        <v>16359.67</v>
      </c>
      <c r="K221" s="18"/>
      <c r="L221" s="19">
        <f t="shared" si="2"/>
        <v>316249.18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54027.23</v>
      </c>
      <c r="G222" s="18">
        <v>17963.43</v>
      </c>
      <c r="H222" s="18">
        <v>31151.65</v>
      </c>
      <c r="I222" s="18">
        <v>1504.83</v>
      </c>
      <c r="J222" s="18"/>
      <c r="K222" s="18">
        <v>1834.2</v>
      </c>
      <c r="L222" s="19">
        <f t="shared" si="2"/>
        <v>106481.34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226073.91</v>
      </c>
      <c r="G223" s="18">
        <v>102698.05</v>
      </c>
      <c r="H223" s="18">
        <v>15231.08</v>
      </c>
      <c r="I223" s="18">
        <v>3506.13</v>
      </c>
      <c r="J223" s="18">
        <v>239.98</v>
      </c>
      <c r="K223" s="18">
        <v>1815</v>
      </c>
      <c r="L223" s="19">
        <f t="shared" si="2"/>
        <v>349564.15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57088.83</v>
      </c>
      <c r="G224" s="18">
        <v>21105.29</v>
      </c>
      <c r="H224" s="18">
        <v>7848.35</v>
      </c>
      <c r="I224" s="18">
        <v>1102.26</v>
      </c>
      <c r="J224" s="18">
        <v>2515.88</v>
      </c>
      <c r="K224" s="18">
        <v>551.55999999999995</v>
      </c>
      <c r="L224" s="19">
        <f t="shared" si="2"/>
        <v>90212.17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144360.23000000001</v>
      </c>
      <c r="G225" s="18">
        <v>56256.62</v>
      </c>
      <c r="H225" s="18">
        <v>179896.24</v>
      </c>
      <c r="I225" s="18">
        <v>104778.64</v>
      </c>
      <c r="J225" s="18">
        <v>7844.27</v>
      </c>
      <c r="K225" s="18"/>
      <c r="L225" s="19">
        <f t="shared" si="2"/>
        <v>493136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225175.78</v>
      </c>
      <c r="I226" s="18"/>
      <c r="J226" s="18"/>
      <c r="K226" s="18"/>
      <c r="L226" s="19">
        <f t="shared" si="2"/>
        <v>225175.78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3354025.97</v>
      </c>
      <c r="G229" s="41">
        <f>SUM(G215:G228)</f>
        <v>1668093.48</v>
      </c>
      <c r="H229" s="41">
        <f>SUM(H215:H228)</f>
        <v>730863.95000000007</v>
      </c>
      <c r="I229" s="41">
        <f>SUM(I215:I228)</f>
        <v>184059.61</v>
      </c>
      <c r="J229" s="41">
        <f>SUM(J215:J228)</f>
        <v>35331.410000000003</v>
      </c>
      <c r="K229" s="41">
        <f t="shared" si="3"/>
        <v>7910.07</v>
      </c>
      <c r="L229" s="41">
        <f t="shared" si="3"/>
        <v>5980284.4900000012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1738772.65</v>
      </c>
      <c r="G233" s="18">
        <v>898775.64</v>
      </c>
      <c r="H233" s="18">
        <v>3636.15</v>
      </c>
      <c r="I233" s="18">
        <v>62414.86</v>
      </c>
      <c r="J233" s="18">
        <v>14149.42</v>
      </c>
      <c r="K233" s="18"/>
      <c r="L233" s="19">
        <f>SUM(F233:K233)</f>
        <v>2717748.7199999997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428169.65</v>
      </c>
      <c r="G234" s="18">
        <v>240141.24</v>
      </c>
      <c r="H234" s="18">
        <v>169982</v>
      </c>
      <c r="I234" s="18">
        <v>6468.62</v>
      </c>
      <c r="J234" s="18">
        <v>197.96</v>
      </c>
      <c r="K234" s="18"/>
      <c r="L234" s="19">
        <f>SUM(F234:K234)</f>
        <v>844959.47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19096.66</v>
      </c>
      <c r="G235" s="18">
        <v>1575.54</v>
      </c>
      <c r="H235" s="18">
        <v>146140</v>
      </c>
      <c r="I235" s="18">
        <v>104.07</v>
      </c>
      <c r="J235" s="18"/>
      <c r="K235" s="18"/>
      <c r="L235" s="19">
        <f>SUM(F235:K235)</f>
        <v>166916.27000000002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151534.54</v>
      </c>
      <c r="G236" s="18">
        <v>36974.26</v>
      </c>
      <c r="H236" s="18">
        <v>25684.25</v>
      </c>
      <c r="I236" s="18">
        <v>23001.759999999998</v>
      </c>
      <c r="J236" s="18"/>
      <c r="K236" s="18">
        <v>15456.8</v>
      </c>
      <c r="L236" s="19">
        <f>SUM(F236:K236)</f>
        <v>252651.61000000002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344823.11</v>
      </c>
      <c r="G238" s="18">
        <v>173123.35</v>
      </c>
      <c r="H238" s="18">
        <v>101784.43</v>
      </c>
      <c r="I238" s="18">
        <v>8096.28</v>
      </c>
      <c r="J238" s="18">
        <v>407.69</v>
      </c>
      <c r="K238" s="18">
        <v>562.83000000000004</v>
      </c>
      <c r="L238" s="19">
        <f t="shared" ref="L238:L244" si="4">SUM(F238:K238)</f>
        <v>628797.68999999983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129556.52</v>
      </c>
      <c r="G239" s="18">
        <v>75796.02</v>
      </c>
      <c r="H239" s="18">
        <v>72172.41</v>
      </c>
      <c r="I239" s="18">
        <v>23370.62</v>
      </c>
      <c r="J239" s="18">
        <v>18393.23</v>
      </c>
      <c r="K239" s="18"/>
      <c r="L239" s="19">
        <f t="shared" si="4"/>
        <v>319288.8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57040.12</v>
      </c>
      <c r="G240" s="18">
        <v>18965.18</v>
      </c>
      <c r="H240" s="18">
        <v>32888.870000000003</v>
      </c>
      <c r="I240" s="18">
        <v>1588.73</v>
      </c>
      <c r="J240" s="18"/>
      <c r="K240" s="18">
        <v>1936.47</v>
      </c>
      <c r="L240" s="19">
        <f t="shared" si="4"/>
        <v>112419.37000000001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214736.53</v>
      </c>
      <c r="G241" s="18">
        <v>108425.12</v>
      </c>
      <c r="H241" s="18">
        <v>16917.439999999999</v>
      </c>
      <c r="I241" s="18">
        <v>1709.26</v>
      </c>
      <c r="J241" s="18"/>
      <c r="K241" s="18">
        <v>12672.67</v>
      </c>
      <c r="L241" s="19">
        <f t="shared" si="4"/>
        <v>354461.02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60272.43</v>
      </c>
      <c r="G242" s="18">
        <v>22282.240000000002</v>
      </c>
      <c r="H242" s="18">
        <v>8286.02</v>
      </c>
      <c r="I242" s="18">
        <v>1163.72</v>
      </c>
      <c r="J242" s="18">
        <v>2656.18</v>
      </c>
      <c r="K242" s="18">
        <v>582.30999999999995</v>
      </c>
      <c r="L242" s="19">
        <f t="shared" si="4"/>
        <v>95242.9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150500.75</v>
      </c>
      <c r="G243" s="18">
        <v>59393.84</v>
      </c>
      <c r="H243" s="18">
        <v>205374.39</v>
      </c>
      <c r="I243" s="18">
        <v>115715.34</v>
      </c>
      <c r="J243" s="18">
        <v>17054.900000000001</v>
      </c>
      <c r="K243" s="18"/>
      <c r="L243" s="19">
        <f t="shared" si="4"/>
        <v>548039.22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379791.31</v>
      </c>
      <c r="I244" s="18">
        <v>712.08</v>
      </c>
      <c r="J244" s="18"/>
      <c r="K244" s="18"/>
      <c r="L244" s="19">
        <f t="shared" si="4"/>
        <v>380503.39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3294502.96</v>
      </c>
      <c r="G247" s="41">
        <f t="shared" si="5"/>
        <v>1635452.4300000002</v>
      </c>
      <c r="H247" s="41">
        <f t="shared" si="5"/>
        <v>1162657.27</v>
      </c>
      <c r="I247" s="41">
        <f t="shared" si="5"/>
        <v>244345.33999999997</v>
      </c>
      <c r="J247" s="41">
        <f t="shared" si="5"/>
        <v>52859.380000000005</v>
      </c>
      <c r="K247" s="41">
        <f t="shared" si="5"/>
        <v>31211.079999999998</v>
      </c>
      <c r="L247" s="41">
        <f t="shared" si="5"/>
        <v>6421028.459999999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2837.41</v>
      </c>
      <c r="G253" s="18">
        <v>248.75</v>
      </c>
      <c r="H253" s="18"/>
      <c r="I253" s="18"/>
      <c r="J253" s="18"/>
      <c r="K253" s="18"/>
      <c r="L253" s="19">
        <f t="shared" si="6"/>
        <v>3086.16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778113.66</v>
      </c>
      <c r="I255" s="18"/>
      <c r="J255" s="18"/>
      <c r="K255" s="18"/>
      <c r="L255" s="19">
        <f t="shared" si="6"/>
        <v>778113.66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2837.41</v>
      </c>
      <c r="G256" s="41">
        <f t="shared" si="7"/>
        <v>248.75</v>
      </c>
      <c r="H256" s="41">
        <f t="shared" si="7"/>
        <v>778113.66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781199.82000000007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10916409.57</v>
      </c>
      <c r="G257" s="41">
        <f t="shared" si="8"/>
        <v>5473916.4400000004</v>
      </c>
      <c r="H257" s="41">
        <f t="shared" si="8"/>
        <v>3623998.43</v>
      </c>
      <c r="I257" s="41">
        <f t="shared" si="8"/>
        <v>685291.36999999988</v>
      </c>
      <c r="J257" s="41">
        <f t="shared" si="8"/>
        <v>142734.64000000001</v>
      </c>
      <c r="K257" s="41">
        <f t="shared" si="8"/>
        <v>45659.039999999994</v>
      </c>
      <c r="L257" s="41">
        <f t="shared" si="8"/>
        <v>20888009.490000002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40315.800000000003</v>
      </c>
      <c r="L263" s="19">
        <f>SUM(F263:K263)</f>
        <v>40315.800000000003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85000</v>
      </c>
      <c r="L266" s="19">
        <f t="shared" si="9"/>
        <v>85000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125315.8</v>
      </c>
      <c r="L270" s="41">
        <f t="shared" si="9"/>
        <v>125315.8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10916409.57</v>
      </c>
      <c r="G271" s="42">
        <f t="shared" si="11"/>
        <v>5473916.4400000004</v>
      </c>
      <c r="H271" s="42">
        <f t="shared" si="11"/>
        <v>3623998.43</v>
      </c>
      <c r="I271" s="42">
        <f t="shared" si="11"/>
        <v>685291.36999999988</v>
      </c>
      <c r="J271" s="42">
        <f t="shared" si="11"/>
        <v>142734.64000000001</v>
      </c>
      <c r="K271" s="42">
        <f t="shared" si="11"/>
        <v>170974.84</v>
      </c>
      <c r="L271" s="42">
        <f t="shared" si="11"/>
        <v>21013325.290000003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99096.62</v>
      </c>
      <c r="G276" s="18">
        <v>50595.07</v>
      </c>
      <c r="H276" s="18"/>
      <c r="I276" s="18">
        <v>35472.639999999999</v>
      </c>
      <c r="J276" s="18"/>
      <c r="K276" s="18"/>
      <c r="L276" s="19">
        <f>SUM(F276:K276)</f>
        <v>185164.33000000002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108931.96</v>
      </c>
      <c r="G277" s="18">
        <v>80134.83</v>
      </c>
      <c r="H277" s="18">
        <v>4175.83</v>
      </c>
      <c r="I277" s="18">
        <v>13163.94</v>
      </c>
      <c r="J277" s="18">
        <v>42080.02</v>
      </c>
      <c r="K277" s="18"/>
      <c r="L277" s="19">
        <f>SUM(F277:K277)</f>
        <v>248486.58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7200</v>
      </c>
      <c r="G279" s="18">
        <v>1831.68</v>
      </c>
      <c r="H279" s="18"/>
      <c r="I279" s="18">
        <v>2562.94</v>
      </c>
      <c r="J279" s="18"/>
      <c r="K279" s="18"/>
      <c r="L279" s="19">
        <f>SUM(F279:K279)</f>
        <v>11594.62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9868.6</v>
      </c>
      <c r="G282" s="18">
        <v>2517.8000000000002</v>
      </c>
      <c r="H282" s="18">
        <v>39767.1</v>
      </c>
      <c r="I282" s="18"/>
      <c r="J282" s="18">
        <v>11253.58</v>
      </c>
      <c r="K282" s="18">
        <v>1611.2</v>
      </c>
      <c r="L282" s="19">
        <f t="shared" si="12"/>
        <v>65018.28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15758.96</v>
      </c>
      <c r="I287" s="18"/>
      <c r="J287" s="18"/>
      <c r="K287" s="18"/>
      <c r="L287" s="19">
        <f t="shared" si="12"/>
        <v>15758.96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225097.18000000002</v>
      </c>
      <c r="G290" s="42">
        <f t="shared" si="13"/>
        <v>135079.37999999998</v>
      </c>
      <c r="H290" s="42">
        <f t="shared" si="13"/>
        <v>59701.89</v>
      </c>
      <c r="I290" s="42">
        <f t="shared" si="13"/>
        <v>51199.520000000004</v>
      </c>
      <c r="J290" s="42">
        <f t="shared" si="13"/>
        <v>53333.599999999999</v>
      </c>
      <c r="K290" s="42">
        <f t="shared" si="13"/>
        <v>1611.2</v>
      </c>
      <c r="L290" s="41">
        <f t="shared" si="13"/>
        <v>526022.77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85097.15</v>
      </c>
      <c r="G295" s="18">
        <v>55650.07</v>
      </c>
      <c r="H295" s="18">
        <v>150</v>
      </c>
      <c r="I295" s="18">
        <v>1371.52</v>
      </c>
      <c r="J295" s="18">
        <v>614.35</v>
      </c>
      <c r="K295" s="18"/>
      <c r="L295" s="19">
        <f>SUM(F295:K295)</f>
        <v>142883.09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19799.88</v>
      </c>
      <c r="G296" s="18">
        <v>9821.39</v>
      </c>
      <c r="H296" s="18">
        <v>3383.01</v>
      </c>
      <c r="I296" s="18">
        <v>8613.99</v>
      </c>
      <c r="J296" s="18">
        <v>17031.21</v>
      </c>
      <c r="K296" s="18"/>
      <c r="L296" s="19">
        <f>SUM(F296:K296)</f>
        <v>58649.479999999996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6672</v>
      </c>
      <c r="G298" s="18">
        <v>1697.25</v>
      </c>
      <c r="H298" s="18">
        <v>773.8</v>
      </c>
      <c r="I298" s="18">
        <v>1848.39</v>
      </c>
      <c r="J298" s="18">
        <v>1499</v>
      </c>
      <c r="K298" s="18"/>
      <c r="L298" s="19">
        <f>SUM(F298:K298)</f>
        <v>12490.439999999999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85.52</v>
      </c>
      <c r="G300" s="18">
        <v>20.78</v>
      </c>
      <c r="H300" s="18"/>
      <c r="I300" s="18"/>
      <c r="J300" s="18"/>
      <c r="K300" s="18"/>
      <c r="L300" s="19">
        <f t="shared" ref="L300:L306" si="14">SUM(F300:K300)</f>
        <v>106.3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7117.25</v>
      </c>
      <c r="G301" s="18">
        <v>1815.86</v>
      </c>
      <c r="H301" s="18">
        <v>11913.56</v>
      </c>
      <c r="I301" s="18"/>
      <c r="J301" s="18">
        <v>8116.1</v>
      </c>
      <c r="K301" s="18">
        <v>1162</v>
      </c>
      <c r="L301" s="19">
        <f t="shared" si="14"/>
        <v>30124.769999999997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5791.35</v>
      </c>
      <c r="I306" s="18"/>
      <c r="J306" s="18"/>
      <c r="K306" s="18"/>
      <c r="L306" s="19">
        <f t="shared" si="14"/>
        <v>5791.35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118771.8</v>
      </c>
      <c r="G309" s="42">
        <f t="shared" si="15"/>
        <v>69005.349999999991</v>
      </c>
      <c r="H309" s="42">
        <f t="shared" si="15"/>
        <v>22011.72</v>
      </c>
      <c r="I309" s="42">
        <f t="shared" si="15"/>
        <v>11833.9</v>
      </c>
      <c r="J309" s="42">
        <f t="shared" si="15"/>
        <v>27260.659999999996</v>
      </c>
      <c r="K309" s="42">
        <f t="shared" si="15"/>
        <v>1162</v>
      </c>
      <c r="L309" s="41">
        <f t="shared" si="15"/>
        <v>250045.43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>
        <v>915.36</v>
      </c>
      <c r="J314" s="18">
        <v>648.19000000000005</v>
      </c>
      <c r="K314" s="18"/>
      <c r="L314" s="19">
        <f>SUM(F314:K314)</f>
        <v>1563.5500000000002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20796.189999999999</v>
      </c>
      <c r="G315" s="18">
        <v>10358.299999999999</v>
      </c>
      <c r="H315" s="18">
        <v>4774.6400000000003</v>
      </c>
      <c r="I315" s="18">
        <v>10112.65</v>
      </c>
      <c r="J315" s="18">
        <v>46580.95</v>
      </c>
      <c r="K315" s="18"/>
      <c r="L315" s="19">
        <f>SUM(F315:K315)</f>
        <v>92622.73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5663.75</v>
      </c>
      <c r="G317" s="18">
        <v>671.97</v>
      </c>
      <c r="H317" s="18">
        <v>15786.76</v>
      </c>
      <c r="I317" s="18">
        <v>4039.37</v>
      </c>
      <c r="J317" s="18">
        <v>2729.92</v>
      </c>
      <c r="K317" s="18"/>
      <c r="L317" s="19">
        <f>SUM(F317:K317)</f>
        <v>28891.769999999997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90.22</v>
      </c>
      <c r="G319" s="18">
        <v>21.92</v>
      </c>
      <c r="H319" s="18"/>
      <c r="I319" s="18"/>
      <c r="J319" s="18"/>
      <c r="K319" s="18"/>
      <c r="L319" s="19">
        <f t="shared" ref="L319:L325" si="16">SUM(F319:K319)</f>
        <v>112.14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7514.15</v>
      </c>
      <c r="G320" s="18">
        <v>1917.1</v>
      </c>
      <c r="H320" s="18">
        <v>11559.95</v>
      </c>
      <c r="I320" s="18"/>
      <c r="J320" s="18">
        <v>8568.7000000000007</v>
      </c>
      <c r="K320" s="18">
        <v>1226.8</v>
      </c>
      <c r="L320" s="19">
        <f t="shared" si="16"/>
        <v>30786.7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7124.41</v>
      </c>
      <c r="I325" s="18"/>
      <c r="J325" s="18"/>
      <c r="K325" s="18"/>
      <c r="L325" s="19">
        <f t="shared" si="16"/>
        <v>7124.41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34064.31</v>
      </c>
      <c r="G328" s="42">
        <f t="shared" si="17"/>
        <v>12969.289999999999</v>
      </c>
      <c r="H328" s="42">
        <f t="shared" si="17"/>
        <v>39245.760000000002</v>
      </c>
      <c r="I328" s="42">
        <f t="shared" si="17"/>
        <v>15067.380000000001</v>
      </c>
      <c r="J328" s="42">
        <f t="shared" si="17"/>
        <v>58527.759999999995</v>
      </c>
      <c r="K328" s="42">
        <f t="shared" si="17"/>
        <v>1226.8</v>
      </c>
      <c r="L328" s="41">
        <f t="shared" si="17"/>
        <v>161101.29999999999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377933.29000000004</v>
      </c>
      <c r="G338" s="41">
        <f t="shared" si="20"/>
        <v>217054.02</v>
      </c>
      <c r="H338" s="41">
        <f t="shared" si="20"/>
        <v>120959.37</v>
      </c>
      <c r="I338" s="41">
        <f t="shared" si="20"/>
        <v>78100.800000000003</v>
      </c>
      <c r="J338" s="41">
        <f t="shared" si="20"/>
        <v>139122.01999999999</v>
      </c>
      <c r="K338" s="41">
        <f t="shared" si="20"/>
        <v>4000</v>
      </c>
      <c r="L338" s="41">
        <f t="shared" si="20"/>
        <v>937169.5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377933.29000000004</v>
      </c>
      <c r="G352" s="41">
        <f>G338</f>
        <v>217054.02</v>
      </c>
      <c r="H352" s="41">
        <f>H338</f>
        <v>120959.37</v>
      </c>
      <c r="I352" s="41">
        <f>I338</f>
        <v>78100.800000000003</v>
      </c>
      <c r="J352" s="41">
        <f>J338</f>
        <v>139122.01999999999</v>
      </c>
      <c r="K352" s="47">
        <f>K338+K351</f>
        <v>4000</v>
      </c>
      <c r="L352" s="41">
        <f>L338+L351</f>
        <v>937169.5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107945.93</v>
      </c>
      <c r="G358" s="18">
        <v>31483.01</v>
      </c>
      <c r="H358" s="18">
        <v>6257.99</v>
      </c>
      <c r="I358" s="18">
        <v>111993.76</v>
      </c>
      <c r="J358" s="18"/>
      <c r="K358" s="18">
        <v>337</v>
      </c>
      <c r="L358" s="13">
        <f>SUM(F358:K358)</f>
        <v>258017.69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57217.59</v>
      </c>
      <c r="G359" s="18">
        <v>25115.439999999999</v>
      </c>
      <c r="H359" s="18">
        <v>5565.22</v>
      </c>
      <c r="I359" s="18">
        <v>56520.18</v>
      </c>
      <c r="J359" s="18"/>
      <c r="K359" s="18">
        <v>210.5</v>
      </c>
      <c r="L359" s="19">
        <f>SUM(F359:K359)</f>
        <v>144628.93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59059.61</v>
      </c>
      <c r="G360" s="18">
        <v>35045.019999999997</v>
      </c>
      <c r="H360" s="18">
        <v>5663.44</v>
      </c>
      <c r="I360" s="18">
        <v>62598.720000000001</v>
      </c>
      <c r="J360" s="18"/>
      <c r="K360" s="18">
        <v>222.5</v>
      </c>
      <c r="L360" s="19">
        <f>SUM(F360:K360)</f>
        <v>162589.29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224223.13</v>
      </c>
      <c r="G362" s="47">
        <f t="shared" si="22"/>
        <v>91643.47</v>
      </c>
      <c r="H362" s="47">
        <f t="shared" si="22"/>
        <v>17486.649999999998</v>
      </c>
      <c r="I362" s="47">
        <f t="shared" si="22"/>
        <v>231112.66</v>
      </c>
      <c r="J362" s="47">
        <f t="shared" si="22"/>
        <v>0</v>
      </c>
      <c r="K362" s="47">
        <f t="shared" si="22"/>
        <v>770</v>
      </c>
      <c r="L362" s="47">
        <f t="shared" si="22"/>
        <v>565235.91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104644.85</v>
      </c>
      <c r="G367" s="18">
        <v>53157.440000000002</v>
      </c>
      <c r="H367" s="18">
        <v>56787.97</v>
      </c>
      <c r="I367" s="56">
        <f>SUM(F367:H367)</f>
        <v>214590.26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7348.91</v>
      </c>
      <c r="G368" s="63">
        <v>3362.74</v>
      </c>
      <c r="H368" s="63">
        <v>5810.75</v>
      </c>
      <c r="I368" s="56">
        <f>SUM(F368:H368)</f>
        <v>16522.400000000001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111993.76000000001</v>
      </c>
      <c r="G369" s="47">
        <f>SUM(G367:G368)</f>
        <v>56520.18</v>
      </c>
      <c r="H369" s="47">
        <f>SUM(H367:H368)</f>
        <v>62598.720000000001</v>
      </c>
      <c r="I369" s="47">
        <f>SUM(I367:I368)</f>
        <v>231112.66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>
        <v>333.87</v>
      </c>
      <c r="I387" s="18"/>
      <c r="J387" s="24" t="s">
        <v>286</v>
      </c>
      <c r="K387" s="24" t="s">
        <v>286</v>
      </c>
      <c r="L387" s="56">
        <f t="shared" ref="L387:L392" si="25">SUM(F387:K387)</f>
        <v>333.87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333.87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333.87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75000</v>
      </c>
      <c r="H396" s="18">
        <v>2642.01</v>
      </c>
      <c r="I396" s="18"/>
      <c r="J396" s="24" t="s">
        <v>286</v>
      </c>
      <c r="K396" s="24" t="s">
        <v>286</v>
      </c>
      <c r="L396" s="56">
        <f t="shared" si="26"/>
        <v>77642.009999999995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2792.72</v>
      </c>
      <c r="I397" s="18"/>
      <c r="J397" s="24" t="s">
        <v>286</v>
      </c>
      <c r="K397" s="24" t="s">
        <v>286</v>
      </c>
      <c r="L397" s="56">
        <f t="shared" si="26"/>
        <v>2792.72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10000</v>
      </c>
      <c r="H399" s="18">
        <v>934.64</v>
      </c>
      <c r="I399" s="18"/>
      <c r="J399" s="24" t="s">
        <v>286</v>
      </c>
      <c r="K399" s="24" t="s">
        <v>286</v>
      </c>
      <c r="L399" s="56">
        <f t="shared" si="26"/>
        <v>10934.64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67.04+1338.32+11.94</f>
        <v>1417.3</v>
      </c>
      <c r="I400" s="18"/>
      <c r="J400" s="24" t="s">
        <v>286</v>
      </c>
      <c r="K400" s="24" t="s">
        <v>286</v>
      </c>
      <c r="L400" s="56">
        <f t="shared" si="26"/>
        <v>1417.3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85000</v>
      </c>
      <c r="H401" s="47">
        <f>SUM(H395:H400)</f>
        <v>7786.67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92786.67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85000</v>
      </c>
      <c r="H408" s="47">
        <f>H393+H401+H407</f>
        <v>8120.54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93120.54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>
        <v>52499.48</v>
      </c>
      <c r="L422" s="56">
        <f t="shared" si="29"/>
        <v>52499.48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>
        <v>25458.62</v>
      </c>
      <c r="L425" s="56">
        <f t="shared" si="29"/>
        <v>25458.62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77958.100000000006</v>
      </c>
      <c r="L427" s="47">
        <f t="shared" si="30"/>
        <v>77958.100000000006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77958.100000000006</v>
      </c>
      <c r="L434" s="47">
        <f t="shared" si="32"/>
        <v>77958.100000000006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25624.87</v>
      </c>
      <c r="G440" s="18">
        <v>545527.53</v>
      </c>
      <c r="H440" s="18"/>
      <c r="I440" s="56">
        <f t="shared" si="33"/>
        <v>571152.4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25624.87</v>
      </c>
      <c r="G446" s="13">
        <f>SUM(G439:G445)</f>
        <v>545527.53</v>
      </c>
      <c r="H446" s="13">
        <f>SUM(H439:H445)</f>
        <v>0</v>
      </c>
      <c r="I446" s="13">
        <f>SUM(I439:I445)</f>
        <v>571152.4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25624.87</v>
      </c>
      <c r="G459" s="18">
        <v>545527.53</v>
      </c>
      <c r="H459" s="18"/>
      <c r="I459" s="56">
        <f t="shared" si="34"/>
        <v>571152.4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25624.87</v>
      </c>
      <c r="G460" s="83">
        <f>SUM(G454:G459)</f>
        <v>545527.53</v>
      </c>
      <c r="H460" s="83">
        <f>SUM(H454:H459)</f>
        <v>0</v>
      </c>
      <c r="I460" s="83">
        <f>SUM(I454:I459)</f>
        <v>571152.4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25624.87</v>
      </c>
      <c r="G461" s="42">
        <f>G452+G460</f>
        <v>545527.53</v>
      </c>
      <c r="H461" s="42">
        <f>H452+H460</f>
        <v>0</v>
      </c>
      <c r="I461" s="42">
        <f>I452+I460</f>
        <v>571152.4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2055511.1</v>
      </c>
      <c r="G465" s="18">
        <v>26107.64</v>
      </c>
      <c r="H465" s="18"/>
      <c r="I465" s="18"/>
      <c r="J465" s="18">
        <v>555989.96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20724786.98</v>
      </c>
      <c r="G468" s="18">
        <v>560559.05000000005</v>
      </c>
      <c r="H468" s="18">
        <v>937169.5</v>
      </c>
      <c r="I468" s="18"/>
      <c r="J468" s="18">
        <v>93120.54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20724786.98</v>
      </c>
      <c r="G470" s="53">
        <f>SUM(G468:G469)</f>
        <v>560559.05000000005</v>
      </c>
      <c r="H470" s="53">
        <f>SUM(H468:H469)</f>
        <v>937169.5</v>
      </c>
      <c r="I470" s="53">
        <f>SUM(I468:I469)</f>
        <v>0</v>
      </c>
      <c r="J470" s="53">
        <f>SUM(J468:J469)</f>
        <v>93120.54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21013325.289999999</v>
      </c>
      <c r="G472" s="18">
        <v>565235.91</v>
      </c>
      <c r="H472" s="18">
        <v>937169.5</v>
      </c>
      <c r="I472" s="18"/>
      <c r="J472" s="18">
        <v>77958.100000000006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21013325.289999999</v>
      </c>
      <c r="G474" s="53">
        <f>SUM(G472:G473)</f>
        <v>565235.91</v>
      </c>
      <c r="H474" s="53">
        <f>SUM(H472:H473)</f>
        <v>937169.5</v>
      </c>
      <c r="I474" s="53">
        <f>SUM(I472:I473)</f>
        <v>0</v>
      </c>
      <c r="J474" s="53">
        <f>SUM(J472:J473)</f>
        <v>77958.100000000006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1766972.7900000028</v>
      </c>
      <c r="G476" s="53">
        <f>(G465+G470)- G474</f>
        <v>21430.780000000028</v>
      </c>
      <c r="H476" s="53">
        <f>(H465+H470)- H474</f>
        <v>0</v>
      </c>
      <c r="I476" s="53">
        <f>(I465+I470)- I474</f>
        <v>0</v>
      </c>
      <c r="J476" s="53">
        <f>(J465+J470)- J474</f>
        <v>571152.4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664038.40000000002</v>
      </c>
      <c r="G521" s="18">
        <v>395076.12</v>
      </c>
      <c r="H521" s="18">
        <v>13027.8</v>
      </c>
      <c r="I521" s="18">
        <v>16525.36</v>
      </c>
      <c r="J521" s="18">
        <v>42359.91</v>
      </c>
      <c r="K521" s="18"/>
      <c r="L521" s="88">
        <f>SUM(F521:K521)</f>
        <v>1131027.5900000001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344918.28</v>
      </c>
      <c r="G522" s="18">
        <v>193300.8</v>
      </c>
      <c r="H522" s="18">
        <v>173433.3</v>
      </c>
      <c r="I522" s="18">
        <v>9434.43</v>
      </c>
      <c r="J522" s="18">
        <v>17548</v>
      </c>
      <c r="K522" s="18"/>
      <c r="L522" s="88">
        <f>SUM(F522:K522)</f>
        <v>738634.81000000017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440913.07</v>
      </c>
      <c r="G523" s="18">
        <v>248680.59</v>
      </c>
      <c r="H523" s="18">
        <v>173731.64</v>
      </c>
      <c r="I523" s="18">
        <v>16581.27</v>
      </c>
      <c r="J523" s="18">
        <v>46778.91</v>
      </c>
      <c r="K523" s="18"/>
      <c r="L523" s="88">
        <f>SUM(F523:K523)</f>
        <v>926685.4800000001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1449869.75</v>
      </c>
      <c r="G524" s="108">
        <f t="shared" ref="G524:L524" si="36">SUM(G521:G523)</f>
        <v>837057.50999999989</v>
      </c>
      <c r="H524" s="108">
        <f t="shared" si="36"/>
        <v>360192.74</v>
      </c>
      <c r="I524" s="108">
        <f t="shared" si="36"/>
        <v>42541.06</v>
      </c>
      <c r="J524" s="108">
        <f t="shared" si="36"/>
        <v>106686.82</v>
      </c>
      <c r="K524" s="108">
        <f t="shared" si="36"/>
        <v>0</v>
      </c>
      <c r="L524" s="89">
        <f t="shared" si="36"/>
        <v>2796347.8800000004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155819.46</v>
      </c>
      <c r="G526" s="18">
        <v>72928.789999999994</v>
      </c>
      <c r="H526" s="18">
        <v>32010</v>
      </c>
      <c r="I526" s="18">
        <v>4622.91</v>
      </c>
      <c r="J526" s="18"/>
      <c r="K526" s="18"/>
      <c r="L526" s="88">
        <f>SUM(F526:K526)</f>
        <v>265381.15999999997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112377.26</v>
      </c>
      <c r="G527" s="18">
        <v>52596.36</v>
      </c>
      <c r="H527" s="18">
        <v>6460</v>
      </c>
      <c r="I527" s="18">
        <v>3334.03</v>
      </c>
      <c r="J527" s="18"/>
      <c r="K527" s="18"/>
      <c r="L527" s="88">
        <f>SUM(F527:K527)</f>
        <v>174767.65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118644.05</v>
      </c>
      <c r="G528" s="18">
        <v>55529.440000000002</v>
      </c>
      <c r="H528" s="18">
        <v>5644</v>
      </c>
      <c r="I528" s="18">
        <v>3519.96</v>
      </c>
      <c r="J528" s="18">
        <v>276.56</v>
      </c>
      <c r="K528" s="18"/>
      <c r="L528" s="88">
        <f>SUM(F528:K528)</f>
        <v>183614.00999999998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386840.76999999996</v>
      </c>
      <c r="G529" s="89">
        <f t="shared" ref="G529:L529" si="37">SUM(G526:G528)</f>
        <v>181054.59</v>
      </c>
      <c r="H529" s="89">
        <f t="shared" si="37"/>
        <v>44114</v>
      </c>
      <c r="I529" s="89">
        <f t="shared" si="37"/>
        <v>11476.900000000001</v>
      </c>
      <c r="J529" s="89">
        <f t="shared" si="37"/>
        <v>276.56</v>
      </c>
      <c r="K529" s="89">
        <f t="shared" si="37"/>
        <v>0</v>
      </c>
      <c r="L529" s="89">
        <f t="shared" si="37"/>
        <v>623762.81999999995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43599.49</v>
      </c>
      <c r="G531" s="18">
        <v>21986.05</v>
      </c>
      <c r="H531" s="18">
        <v>173972.69</v>
      </c>
      <c r="I531" s="18">
        <v>897.96</v>
      </c>
      <c r="J531" s="18"/>
      <c r="K531" s="18">
        <v>410.86</v>
      </c>
      <c r="L531" s="88">
        <f>SUM(F531:K531)</f>
        <v>240867.04999999996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31444.03</v>
      </c>
      <c r="G532" s="18">
        <v>15856.36</v>
      </c>
      <c r="H532" s="18">
        <v>6945.98</v>
      </c>
      <c r="I532" s="18">
        <v>647.61</v>
      </c>
      <c r="J532" s="18"/>
      <c r="K532" s="18">
        <v>296.31</v>
      </c>
      <c r="L532" s="88">
        <f>SUM(F532:K532)</f>
        <v>55190.289999999994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33197.519999999997</v>
      </c>
      <c r="G533" s="18">
        <v>16740.62</v>
      </c>
      <c r="H533" s="18">
        <v>87753.53</v>
      </c>
      <c r="I533" s="18">
        <v>450.85</v>
      </c>
      <c r="J533" s="18"/>
      <c r="K533" s="18">
        <v>312.83</v>
      </c>
      <c r="L533" s="88">
        <f>SUM(F533:K533)</f>
        <v>138455.34999999998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108241.03999999998</v>
      </c>
      <c r="G534" s="89">
        <f t="shared" ref="G534:L534" si="38">SUM(G531:G533)</f>
        <v>54583.03</v>
      </c>
      <c r="H534" s="89">
        <f t="shared" si="38"/>
        <v>268672.2</v>
      </c>
      <c r="I534" s="89">
        <f t="shared" si="38"/>
        <v>1996.42</v>
      </c>
      <c r="J534" s="89">
        <f t="shared" si="38"/>
        <v>0</v>
      </c>
      <c r="K534" s="89">
        <f t="shared" si="38"/>
        <v>1020</v>
      </c>
      <c r="L534" s="89">
        <f t="shared" si="38"/>
        <v>434512.68999999994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46107.74</v>
      </c>
      <c r="I541" s="18"/>
      <c r="J541" s="18"/>
      <c r="K541" s="18"/>
      <c r="L541" s="88">
        <f>SUM(F541:K541)</f>
        <v>46107.74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37336.93</v>
      </c>
      <c r="I542" s="18"/>
      <c r="J542" s="18"/>
      <c r="K542" s="18"/>
      <c r="L542" s="88">
        <f>SUM(F542:K542)</f>
        <v>37336.93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69867.83</v>
      </c>
      <c r="I543" s="18"/>
      <c r="J543" s="18"/>
      <c r="K543" s="18"/>
      <c r="L543" s="88">
        <f>SUM(F543:K543)</f>
        <v>69867.83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153312.5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153312.5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1944951.56</v>
      </c>
      <c r="G545" s="89">
        <f t="shared" ref="G545:L545" si="41">G524+G529+G534+G539+G544</f>
        <v>1072695.1299999999</v>
      </c>
      <c r="H545" s="89">
        <f t="shared" si="41"/>
        <v>826291.44</v>
      </c>
      <c r="I545" s="89">
        <f t="shared" si="41"/>
        <v>56014.38</v>
      </c>
      <c r="J545" s="89">
        <f t="shared" si="41"/>
        <v>106963.38</v>
      </c>
      <c r="K545" s="89">
        <f t="shared" si="41"/>
        <v>1020</v>
      </c>
      <c r="L545" s="89">
        <f t="shared" si="41"/>
        <v>4007935.89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1131027.5900000001</v>
      </c>
      <c r="G549" s="87">
        <f>L526</f>
        <v>265381.15999999997</v>
      </c>
      <c r="H549" s="87">
        <f>L531</f>
        <v>240867.04999999996</v>
      </c>
      <c r="I549" s="87">
        <f>L536</f>
        <v>0</v>
      </c>
      <c r="J549" s="87">
        <f>L541</f>
        <v>46107.74</v>
      </c>
      <c r="K549" s="87">
        <f>SUM(F549:J549)</f>
        <v>1683383.54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738634.81000000017</v>
      </c>
      <c r="G550" s="87">
        <f>L527</f>
        <v>174767.65</v>
      </c>
      <c r="H550" s="87">
        <f>L532</f>
        <v>55190.289999999994</v>
      </c>
      <c r="I550" s="87">
        <f>L537</f>
        <v>0</v>
      </c>
      <c r="J550" s="87">
        <f>L542</f>
        <v>37336.93</v>
      </c>
      <c r="K550" s="87">
        <f>SUM(F550:J550)</f>
        <v>1005929.6800000003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926685.4800000001</v>
      </c>
      <c r="G551" s="87">
        <f>L528</f>
        <v>183614.00999999998</v>
      </c>
      <c r="H551" s="87">
        <f>L533</f>
        <v>138455.34999999998</v>
      </c>
      <c r="I551" s="87">
        <f>L538</f>
        <v>0</v>
      </c>
      <c r="J551" s="87">
        <f>L543</f>
        <v>69867.83</v>
      </c>
      <c r="K551" s="87">
        <f>SUM(F551:J551)</f>
        <v>1318622.67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2796347.8800000004</v>
      </c>
      <c r="G552" s="89">
        <f t="shared" si="42"/>
        <v>623762.81999999995</v>
      </c>
      <c r="H552" s="89">
        <f t="shared" si="42"/>
        <v>434512.68999999994</v>
      </c>
      <c r="I552" s="89">
        <f t="shared" si="42"/>
        <v>0</v>
      </c>
      <c r="J552" s="89">
        <f t="shared" si="42"/>
        <v>153312.5</v>
      </c>
      <c r="K552" s="89">
        <f t="shared" si="42"/>
        <v>4007935.89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5591.89</v>
      </c>
      <c r="G562" s="18">
        <v>1974.65</v>
      </c>
      <c r="H562" s="18"/>
      <c r="I562" s="18"/>
      <c r="J562" s="18"/>
      <c r="K562" s="18"/>
      <c r="L562" s="88">
        <f>SUM(F562:K562)</f>
        <v>7566.5400000000009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4032.88</v>
      </c>
      <c r="G563" s="18">
        <v>1424.12</v>
      </c>
      <c r="H563" s="18"/>
      <c r="I563" s="18"/>
      <c r="J563" s="18"/>
      <c r="K563" s="18"/>
      <c r="L563" s="88">
        <f>SUM(F563:K563)</f>
        <v>5457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4257.7700000000004</v>
      </c>
      <c r="G564" s="18">
        <v>1503.53</v>
      </c>
      <c r="H564" s="18"/>
      <c r="I564" s="18"/>
      <c r="J564" s="18"/>
      <c r="K564" s="18"/>
      <c r="L564" s="88">
        <f>SUM(F564:K564)</f>
        <v>5761.3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13882.54</v>
      </c>
      <c r="G565" s="89">
        <f t="shared" si="44"/>
        <v>4902.3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18784.84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41703.67</v>
      </c>
      <c r="G567" s="18">
        <v>12972.54</v>
      </c>
      <c r="H567" s="18"/>
      <c r="I567" s="18">
        <v>437.94</v>
      </c>
      <c r="J567" s="18"/>
      <c r="K567" s="18"/>
      <c r="L567" s="88">
        <f>SUM(F567:K567)</f>
        <v>55114.15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27802.33</v>
      </c>
      <c r="G568" s="18">
        <v>8648.3700000000008</v>
      </c>
      <c r="H568" s="18">
        <v>400</v>
      </c>
      <c r="I568" s="18">
        <v>826.45</v>
      </c>
      <c r="J568" s="18"/>
      <c r="K568" s="18"/>
      <c r="L568" s="88">
        <f>SUM(F568:K568)</f>
        <v>37677.15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69506</v>
      </c>
      <c r="G570" s="193">
        <f t="shared" ref="G570:L570" si="45">SUM(G567:G569)</f>
        <v>21620.910000000003</v>
      </c>
      <c r="H570" s="193">
        <f t="shared" si="45"/>
        <v>400</v>
      </c>
      <c r="I570" s="193">
        <f t="shared" si="45"/>
        <v>1264.3900000000001</v>
      </c>
      <c r="J570" s="193">
        <f t="shared" si="45"/>
        <v>0</v>
      </c>
      <c r="K570" s="193">
        <f t="shared" si="45"/>
        <v>0</v>
      </c>
      <c r="L570" s="193">
        <f t="shared" si="45"/>
        <v>92791.3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83388.540000000008</v>
      </c>
      <c r="G571" s="89">
        <f t="shared" ref="G571:L571" si="46">G560+G565+G570</f>
        <v>26523.210000000003</v>
      </c>
      <c r="H571" s="89">
        <f t="shared" si="46"/>
        <v>400</v>
      </c>
      <c r="I571" s="89">
        <f t="shared" si="46"/>
        <v>1264.3900000000001</v>
      </c>
      <c r="J571" s="89">
        <f t="shared" si="46"/>
        <v>0</v>
      </c>
      <c r="K571" s="89">
        <f t="shared" si="46"/>
        <v>0</v>
      </c>
      <c r="L571" s="89">
        <f t="shared" si="46"/>
        <v>111576.14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8724.75</v>
      </c>
      <c r="G579" s="18">
        <v>169962.1</v>
      </c>
      <c r="H579" s="18">
        <v>168728.62</v>
      </c>
      <c r="I579" s="87">
        <f t="shared" si="47"/>
        <v>347415.47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145505.57</v>
      </c>
      <c r="I584" s="87">
        <f t="shared" si="47"/>
        <v>145505.57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249602.46</v>
      </c>
      <c r="I591" s="18">
        <v>169350.58</v>
      </c>
      <c r="J591" s="18">
        <v>183371.86</v>
      </c>
      <c r="K591" s="104">
        <f t="shared" ref="K591:K597" si="48">SUM(H591:J591)</f>
        <v>602324.89999999991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46107.74</v>
      </c>
      <c r="I592" s="18">
        <v>37336.93</v>
      </c>
      <c r="J592" s="18">
        <v>69867.83</v>
      </c>
      <c r="K592" s="104">
        <f t="shared" si="48"/>
        <v>153312.5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63450.3</v>
      </c>
      <c r="K593" s="104">
        <f t="shared" si="48"/>
        <v>63450.3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12501.69</v>
      </c>
      <c r="J594" s="18">
        <v>36310.18</v>
      </c>
      <c r="K594" s="104">
        <f t="shared" si="48"/>
        <v>48811.87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7552.5</v>
      </c>
      <c r="I595" s="18">
        <v>5986.58</v>
      </c>
      <c r="J595" s="18">
        <v>16271.22</v>
      </c>
      <c r="K595" s="104">
        <f t="shared" si="48"/>
        <v>29810.3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>
        <v>11232</v>
      </c>
      <c r="K597" s="104">
        <f t="shared" si="48"/>
        <v>11232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303262.7</v>
      </c>
      <c r="I598" s="108">
        <f>SUM(I591:I597)</f>
        <v>225175.77999999997</v>
      </c>
      <c r="J598" s="108">
        <f>SUM(J591:J597)</f>
        <v>380503.38999999996</v>
      </c>
      <c r="K598" s="108">
        <f>SUM(K591:K597)</f>
        <v>908941.87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107877.45</v>
      </c>
      <c r="I604" s="18">
        <v>62592.07</v>
      </c>
      <c r="J604" s="18">
        <v>111387.14</v>
      </c>
      <c r="K604" s="104">
        <f>SUM(H604:J604)</f>
        <v>281856.65999999997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107877.45</v>
      </c>
      <c r="I605" s="108">
        <f>SUM(I602:I604)</f>
        <v>62592.07</v>
      </c>
      <c r="J605" s="108">
        <f>SUM(J602:J604)</f>
        <v>111387.14</v>
      </c>
      <c r="K605" s="108">
        <f>SUM(K602:K604)</f>
        <v>281856.65999999997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7200</v>
      </c>
      <c r="G611" s="18">
        <v>1831.68</v>
      </c>
      <c r="H611" s="18"/>
      <c r="I611" s="18"/>
      <c r="J611" s="18"/>
      <c r="K611" s="18"/>
      <c r="L611" s="88">
        <f>SUM(F611:K611)</f>
        <v>9031.68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6075</v>
      </c>
      <c r="G612" s="18">
        <v>1544.25</v>
      </c>
      <c r="H612" s="18"/>
      <c r="I612" s="18"/>
      <c r="J612" s="18"/>
      <c r="K612" s="18"/>
      <c r="L612" s="88">
        <f>SUM(F612:K612)</f>
        <v>7619.25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9450</v>
      </c>
      <c r="G613" s="18">
        <v>2363.5100000000002</v>
      </c>
      <c r="H613" s="18"/>
      <c r="I613" s="18"/>
      <c r="J613" s="18"/>
      <c r="K613" s="18"/>
      <c r="L613" s="88">
        <f>SUM(F613:K613)</f>
        <v>11813.51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22725</v>
      </c>
      <c r="G614" s="108">
        <f t="shared" si="49"/>
        <v>5739.4400000000005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28464.440000000002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2062801.4800000002</v>
      </c>
      <c r="H617" s="109">
        <f>SUM(F52)</f>
        <v>2062801.48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53490.659999999996</v>
      </c>
      <c r="H618" s="109">
        <f>SUM(G52)</f>
        <v>53490.66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406315.02999999997</v>
      </c>
      <c r="H619" s="109">
        <f>SUM(H52)</f>
        <v>406315.02999999997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571152.4</v>
      </c>
      <c r="H621" s="109">
        <f>SUM(J52)</f>
        <v>571152.4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1766972.79</v>
      </c>
      <c r="H622" s="109">
        <f>F476</f>
        <v>1766972.7900000028</v>
      </c>
      <c r="I622" s="121" t="s">
        <v>101</v>
      </c>
      <c r="J622" s="109">
        <f t="shared" ref="J622:J655" si="50">G622-H622</f>
        <v>-2.7939677238464355E-9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21430.78</v>
      </c>
      <c r="H623" s="109">
        <f>G476</f>
        <v>21430.780000000028</v>
      </c>
      <c r="I623" s="121" t="s">
        <v>102</v>
      </c>
      <c r="J623" s="109">
        <f t="shared" si="50"/>
        <v>-2.9103830456733704E-11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571152.4</v>
      </c>
      <c r="H626" s="109">
        <f>J476</f>
        <v>571152.4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20724786.98</v>
      </c>
      <c r="H627" s="104">
        <f>SUM(F468)</f>
        <v>20724786.98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560559.05000000005</v>
      </c>
      <c r="H628" s="104">
        <f>SUM(G468)</f>
        <v>560559.05000000005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937169.50000000012</v>
      </c>
      <c r="H629" s="104">
        <f>SUM(H468)</f>
        <v>937169.5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93120.54</v>
      </c>
      <c r="H631" s="104">
        <f>SUM(J468)</f>
        <v>93120.54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21013325.290000003</v>
      </c>
      <c r="H632" s="104">
        <f>SUM(F472)</f>
        <v>21013325.289999999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937169.5</v>
      </c>
      <c r="H633" s="104">
        <f>SUM(H472)</f>
        <v>937169.5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231112.66</v>
      </c>
      <c r="H634" s="104">
        <f>I369</f>
        <v>231112.66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565235.91</v>
      </c>
      <c r="H635" s="104">
        <f>SUM(G472)</f>
        <v>565235.91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93120.54</v>
      </c>
      <c r="H637" s="164">
        <f>SUM(J468)</f>
        <v>93120.54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77958.100000000006</v>
      </c>
      <c r="H638" s="164">
        <f>SUM(J472)</f>
        <v>77958.100000000006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25624.87</v>
      </c>
      <c r="H639" s="104">
        <f>SUM(F461)</f>
        <v>25624.87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545527.53</v>
      </c>
      <c r="H640" s="104">
        <f>SUM(G461)</f>
        <v>545527.53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571152.4</v>
      </c>
      <c r="H642" s="104">
        <f>SUM(I461)</f>
        <v>571152.4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8120.54</v>
      </c>
      <c r="H644" s="104">
        <f>H408</f>
        <v>8120.54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85000</v>
      </c>
      <c r="H645" s="104">
        <f>G408</f>
        <v>85000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93120.54</v>
      </c>
      <c r="H646" s="104">
        <f>L408</f>
        <v>93120.54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908941.87</v>
      </c>
      <c r="H647" s="104">
        <f>L208+L226+L244</f>
        <v>908941.87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281856.65999999997</v>
      </c>
      <c r="H648" s="104">
        <f>(J257+J338)-(J255+J336)</f>
        <v>281856.66000000003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303262.7</v>
      </c>
      <c r="H649" s="104">
        <f>H598</f>
        <v>303262.7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225175.78</v>
      </c>
      <c r="H650" s="104">
        <f>I598</f>
        <v>225175.77999999997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380503.39</v>
      </c>
      <c r="H651" s="104">
        <f>J598</f>
        <v>380503.38999999996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40315.800000000003</v>
      </c>
      <c r="H652" s="104">
        <f>K263+K345</f>
        <v>40315.800000000003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85000</v>
      </c>
      <c r="H655" s="104">
        <f>K266+K347</f>
        <v>85000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8489537.1799999997</v>
      </c>
      <c r="G660" s="19">
        <f>(L229+L309+L359)</f>
        <v>6374958.8500000006</v>
      </c>
      <c r="H660" s="19">
        <f>(L247+L328+L360)</f>
        <v>6744719.0499999989</v>
      </c>
      <c r="I660" s="19">
        <f>SUM(F660:H660)</f>
        <v>21609215.079999998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110969.43487880909</v>
      </c>
      <c r="G661" s="19">
        <f>(L359/IF(SUM(L358:L360)=0,1,SUM(L358:L360))*(SUM(G97:G110)))</f>
        <v>62202.675441466199</v>
      </c>
      <c r="H661" s="19">
        <f>(L360/IF(SUM(L358:L360)=0,1,SUM(L358:L360))*(SUM(G97:G110)))</f>
        <v>69927.149679724709</v>
      </c>
      <c r="I661" s="19">
        <f>SUM(F661:H661)</f>
        <v>243099.26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319021.66000000003</v>
      </c>
      <c r="G662" s="19">
        <f>(L226+L306)-(J226+J306)</f>
        <v>230967.13</v>
      </c>
      <c r="H662" s="19">
        <f>(L244+L325)-(J244+J325)</f>
        <v>387627.8</v>
      </c>
      <c r="I662" s="19">
        <f>SUM(F662:H662)</f>
        <v>937616.59000000008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125633.88</v>
      </c>
      <c r="G663" s="199">
        <f>SUM(G575:G587)+SUM(I602:I604)+L612</f>
        <v>240173.42</v>
      </c>
      <c r="H663" s="199">
        <f>SUM(H575:H587)+SUM(J602:J604)+L613</f>
        <v>437434.84</v>
      </c>
      <c r="I663" s="19">
        <f>SUM(F663:H663)</f>
        <v>803242.14000000013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7933912.2051211903</v>
      </c>
      <c r="G664" s="19">
        <f>G660-SUM(G661:G663)</f>
        <v>5841615.6245585345</v>
      </c>
      <c r="H664" s="19">
        <f>H660-SUM(H661:H663)</f>
        <v>5849729.2603202742</v>
      </c>
      <c r="I664" s="19">
        <f>I660-SUM(I661:I663)</f>
        <v>19625257.089999996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518.51</v>
      </c>
      <c r="G665" s="248">
        <v>373.87</v>
      </c>
      <c r="H665" s="248">
        <v>394.54</v>
      </c>
      <c r="I665" s="19">
        <f>SUM(F665:H665)</f>
        <v>1286.92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15301.37</v>
      </c>
      <c r="G667" s="19">
        <f>ROUND(G664/G665,2)</f>
        <v>15624.72</v>
      </c>
      <c r="H667" s="19">
        <f>ROUND(H664/H665,2)</f>
        <v>14826.71</v>
      </c>
      <c r="I667" s="19">
        <f>ROUND(I664/I665,2)</f>
        <v>15249.79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-15.33</v>
      </c>
      <c r="I670" s="19">
        <f>SUM(F670:H670)</f>
        <v>-15.33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15301.37</v>
      </c>
      <c r="G672" s="19">
        <f>ROUND((G664+G669)/(G665+G670),2)</f>
        <v>15624.72</v>
      </c>
      <c r="H672" s="19">
        <f>ROUND((H664+H669)/(H665+H670),2)</f>
        <v>15426.09</v>
      </c>
      <c r="I672" s="19">
        <f>ROUND((I664+I669)/(I665+I670),2)</f>
        <v>15433.64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2" zoomScale="175" zoomScaleNormal="175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Shaker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6034143.4100000001</v>
      </c>
      <c r="C9" s="229">
        <f>'DOE25'!G197+'DOE25'!G215+'DOE25'!G233+'DOE25'!G276+'DOE25'!G295+'DOE25'!G314</f>
        <v>3130389.3</v>
      </c>
    </row>
    <row r="10" spans="1:3" x14ac:dyDescent="0.2">
      <c r="A10" t="s">
        <v>773</v>
      </c>
      <c r="B10" s="240">
        <v>5530077.4900000002</v>
      </c>
      <c r="C10" s="240">
        <v>2872856.77</v>
      </c>
    </row>
    <row r="11" spans="1:3" x14ac:dyDescent="0.2">
      <c r="A11" t="s">
        <v>774</v>
      </c>
      <c r="B11" s="240">
        <v>394828.6</v>
      </c>
      <c r="C11" s="240">
        <v>248791.69</v>
      </c>
    </row>
    <row r="12" spans="1:3" x14ac:dyDescent="0.2">
      <c r="A12" t="s">
        <v>775</v>
      </c>
      <c r="B12" s="240">
        <v>109237.32</v>
      </c>
      <c r="C12" s="240">
        <v>8740.84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6034143.4100000001</v>
      </c>
      <c r="C13" s="231">
        <f>SUM(C10:C12)</f>
        <v>3130389.3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1654108.0799999996</v>
      </c>
      <c r="C18" s="229">
        <f>'DOE25'!G198+'DOE25'!G216+'DOE25'!G234+'DOE25'!G277+'DOE25'!G296+'DOE25'!G315</f>
        <v>909424.79</v>
      </c>
    </row>
    <row r="19" spans="1:3" x14ac:dyDescent="0.2">
      <c r="A19" t="s">
        <v>773</v>
      </c>
      <c r="B19" s="240">
        <v>1140384.01</v>
      </c>
      <c r="C19" s="240">
        <v>654589.35</v>
      </c>
    </row>
    <row r="20" spans="1:3" x14ac:dyDescent="0.2">
      <c r="A20" t="s">
        <v>774</v>
      </c>
      <c r="B20" s="240">
        <v>513724.07</v>
      </c>
      <c r="C20" s="240">
        <v>254835.44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1654108.08</v>
      </c>
      <c r="C22" s="231">
        <f>SUM(C19:C21)</f>
        <v>909424.79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19096.66</v>
      </c>
      <c r="C27" s="234">
        <f>'DOE25'!G199+'DOE25'!G217+'DOE25'!G235+'DOE25'!G278+'DOE25'!G297+'DOE25'!G316</f>
        <v>1575.54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>
        <v>19096.66</v>
      </c>
      <c r="C29" s="240">
        <v>1575.54</v>
      </c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19096.66</v>
      </c>
      <c r="C31" s="231">
        <f>SUM(C28:C30)</f>
        <v>1575.54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273422.23</v>
      </c>
      <c r="C36" s="235">
        <f>'DOE25'!G200+'DOE25'!G218+'DOE25'!G236+'DOE25'!G279+'DOE25'!G298+'DOE25'!G317</f>
        <v>65668.819999999992</v>
      </c>
    </row>
    <row r="37" spans="1:3" x14ac:dyDescent="0.2">
      <c r="A37" t="s">
        <v>773</v>
      </c>
      <c r="B37" s="240">
        <v>187321.56</v>
      </c>
      <c r="C37" s="240">
        <v>56777.26</v>
      </c>
    </row>
    <row r="38" spans="1:3" x14ac:dyDescent="0.2">
      <c r="A38" t="s">
        <v>774</v>
      </c>
      <c r="B38" s="240">
        <v>4402.09</v>
      </c>
      <c r="C38" s="240">
        <v>453.11</v>
      </c>
    </row>
    <row r="39" spans="1:3" x14ac:dyDescent="0.2">
      <c r="A39" t="s">
        <v>775</v>
      </c>
      <c r="B39" s="240">
        <v>81698.58</v>
      </c>
      <c r="C39" s="240">
        <v>8438.4500000000007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273422.23</v>
      </c>
      <c r="C40" s="231">
        <f>SUM(C37:C39)</f>
        <v>65668.820000000007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zoomScale="160" zoomScaleNormal="160" workbookViewId="0">
      <pane ySplit="4" topLeftCell="A23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Shaker Regional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12333621.689999999</v>
      </c>
      <c r="D5" s="20">
        <f>SUM('DOE25'!L197:L200)+SUM('DOE25'!L215:L218)+SUM('DOE25'!L233:L236)-F5-G5</f>
        <v>12285122.689999999</v>
      </c>
      <c r="E5" s="243"/>
      <c r="F5" s="255">
        <f>SUM('DOE25'!J197:J200)+SUM('DOE25'!J215:J218)+SUM('DOE25'!J233:J236)</f>
        <v>30137.200000000001</v>
      </c>
      <c r="G5" s="53">
        <f>SUM('DOE25'!K197:K200)+SUM('DOE25'!K215:K218)+SUM('DOE25'!K233:K236)</f>
        <v>18361.8</v>
      </c>
      <c r="H5" s="259"/>
    </row>
    <row r="6" spans="1:9" x14ac:dyDescent="0.2">
      <c r="A6" s="32">
        <v>2100</v>
      </c>
      <c r="B6" t="s">
        <v>795</v>
      </c>
      <c r="C6" s="245">
        <f t="shared" si="0"/>
        <v>2199262.4</v>
      </c>
      <c r="D6" s="20">
        <f>'DOE25'!L202+'DOE25'!L220+'DOE25'!L238-F6-G6</f>
        <v>2196042.89</v>
      </c>
      <c r="E6" s="243"/>
      <c r="F6" s="255">
        <f>'DOE25'!J202+'DOE25'!J220+'DOE25'!J238</f>
        <v>962.51</v>
      </c>
      <c r="G6" s="53">
        <f>'DOE25'!K202+'DOE25'!K220+'DOE25'!K238</f>
        <v>2257</v>
      </c>
      <c r="H6" s="259"/>
    </row>
    <row r="7" spans="1:9" x14ac:dyDescent="0.2">
      <c r="A7" s="32">
        <v>2200</v>
      </c>
      <c r="B7" t="s">
        <v>828</v>
      </c>
      <c r="C7" s="245">
        <f t="shared" si="0"/>
        <v>1093140</v>
      </c>
      <c r="D7" s="20">
        <f>'DOE25'!L203+'DOE25'!L221+'DOE25'!L239-F7-G7</f>
        <v>1035465.49</v>
      </c>
      <c r="E7" s="243"/>
      <c r="F7" s="255">
        <f>'DOE25'!J203+'DOE25'!J221+'DOE25'!J239</f>
        <v>57674.509999999995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104644.46000000006</v>
      </c>
      <c r="D8" s="243"/>
      <c r="E8" s="20">
        <f>'DOE25'!L204+'DOE25'!L222+'DOE25'!L240-F8-G8-D9-D11</f>
        <v>98330.540000000066</v>
      </c>
      <c r="F8" s="255">
        <f>'DOE25'!J204+'DOE25'!J222+'DOE25'!J240</f>
        <v>0</v>
      </c>
      <c r="G8" s="53">
        <f>'DOE25'!K204+'DOE25'!K222+'DOE25'!K240</f>
        <v>6313.92</v>
      </c>
      <c r="H8" s="259"/>
    </row>
    <row r="9" spans="1:9" x14ac:dyDescent="0.2">
      <c r="A9" s="32">
        <v>2310</v>
      </c>
      <c r="B9" t="s">
        <v>812</v>
      </c>
      <c r="C9" s="245">
        <f t="shared" si="0"/>
        <v>26648.16</v>
      </c>
      <c r="D9" s="244">
        <v>26648.16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17945</v>
      </c>
      <c r="D10" s="243"/>
      <c r="E10" s="244">
        <v>17945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235252.46</v>
      </c>
      <c r="D11" s="244">
        <v>235252.46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1189530.95</v>
      </c>
      <c r="D12" s="20">
        <f>'DOE25'!L205+'DOE25'!L223+'DOE25'!L241-F12-G12</f>
        <v>1171881.26</v>
      </c>
      <c r="E12" s="243"/>
      <c r="F12" s="255">
        <f>'DOE25'!J205+'DOE25'!J223+'DOE25'!J241</f>
        <v>822.02</v>
      </c>
      <c r="G12" s="53">
        <f>'DOE25'!K205+'DOE25'!K223+'DOE25'!K241</f>
        <v>16827.669999999998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310540.98</v>
      </c>
      <c r="D13" s="243"/>
      <c r="E13" s="20">
        <f>'DOE25'!L206+'DOE25'!L224+'DOE25'!L242-F13-G13</f>
        <v>299981.80999999994</v>
      </c>
      <c r="F13" s="255">
        <f>'DOE25'!J206+'DOE25'!J224+'DOE25'!J242</f>
        <v>8660.52</v>
      </c>
      <c r="G13" s="53">
        <f>'DOE25'!K206+'DOE25'!K224+'DOE25'!K242</f>
        <v>1898.6499999999999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1705226.6999999997</v>
      </c>
      <c r="D14" s="20">
        <f>'DOE25'!L207+'DOE25'!L225+'DOE25'!L243-F14-G14</f>
        <v>1660748.8199999998</v>
      </c>
      <c r="E14" s="243"/>
      <c r="F14" s="255">
        <f>'DOE25'!J207+'DOE25'!J225+'DOE25'!J243</f>
        <v>44477.880000000005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908941.87</v>
      </c>
      <c r="D15" s="20">
        <f>'DOE25'!L208+'DOE25'!L226+'DOE25'!L244-F15-G15</f>
        <v>908941.87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3086.16</v>
      </c>
      <c r="D19" s="20">
        <f>'DOE25'!L253-F19-G19</f>
        <v>3086.16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778113.66</v>
      </c>
      <c r="D22" s="243"/>
      <c r="E22" s="243"/>
      <c r="F22" s="255">
        <f>'DOE25'!L255+'DOE25'!L336</f>
        <v>778113.66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350645.65</v>
      </c>
      <c r="D29" s="20">
        <f>'DOE25'!L358+'DOE25'!L359+'DOE25'!L360-'DOE25'!I367-F29-G29</f>
        <v>349875.65</v>
      </c>
      <c r="E29" s="243"/>
      <c r="F29" s="255">
        <f>'DOE25'!J358+'DOE25'!J359+'DOE25'!J360</f>
        <v>0</v>
      </c>
      <c r="G29" s="53">
        <f>'DOE25'!K358+'DOE25'!K359+'DOE25'!K360</f>
        <v>770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937169.5</v>
      </c>
      <c r="D31" s="20">
        <f>'DOE25'!L290+'DOE25'!L309+'DOE25'!L328+'DOE25'!L333+'DOE25'!L334+'DOE25'!L335-F31-G31</f>
        <v>794047.48</v>
      </c>
      <c r="E31" s="243"/>
      <c r="F31" s="255">
        <f>'DOE25'!J290+'DOE25'!J309+'DOE25'!J328+'DOE25'!J333+'DOE25'!J334+'DOE25'!J335</f>
        <v>139122.01999999999</v>
      </c>
      <c r="G31" s="53">
        <f>'DOE25'!K290+'DOE25'!K309+'DOE25'!K328+'DOE25'!K333+'DOE25'!K334+'DOE25'!K335</f>
        <v>4000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20667112.930000003</v>
      </c>
      <c r="E33" s="246">
        <f>SUM(E5:E31)</f>
        <v>416257.35</v>
      </c>
      <c r="F33" s="246">
        <f>SUM(F5:F31)</f>
        <v>1059970.32</v>
      </c>
      <c r="G33" s="246">
        <f>SUM(G5:G31)</f>
        <v>50429.04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416257.35</v>
      </c>
      <c r="E35" s="249"/>
    </row>
    <row r="36" spans="2:8" ht="12" thickTop="1" x14ac:dyDescent="0.2">
      <c r="B36" t="s">
        <v>809</v>
      </c>
      <c r="D36" s="20">
        <f>D33</f>
        <v>20667112.930000003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Shaker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586181.99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1522.9</v>
      </c>
      <c r="D9" s="95">
        <f>'DOE25'!G10</f>
        <v>17732.009999999998</v>
      </c>
      <c r="E9" s="95">
        <f>'DOE25'!H10</f>
        <v>0</v>
      </c>
      <c r="F9" s="95">
        <f>'DOE25'!I10</f>
        <v>0</v>
      </c>
      <c r="G9" s="95">
        <f>'DOE25'!J10</f>
        <v>571152.4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260482.56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1022289.13</v>
      </c>
      <c r="D12" s="95">
        <f>'DOE25'!G13</f>
        <v>34196.050000000003</v>
      </c>
      <c r="E12" s="95">
        <f>'DOE25'!H13</f>
        <v>401976.93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17835.8</v>
      </c>
      <c r="D13" s="95">
        <f>'DOE25'!G14</f>
        <v>1562.6</v>
      </c>
      <c r="E13" s="95">
        <f>'DOE25'!H14</f>
        <v>4338.1000000000004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174489.1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2062801.4800000002</v>
      </c>
      <c r="D18" s="41">
        <f>SUM(D8:D17)</f>
        <v>53490.659999999996</v>
      </c>
      <c r="E18" s="41">
        <f>SUM(E8:E17)</f>
        <v>406315.02999999997</v>
      </c>
      <c r="F18" s="41">
        <f>SUM(F8:F17)</f>
        <v>0</v>
      </c>
      <c r="G18" s="41">
        <f>SUM(G8:G17)</f>
        <v>571152.4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20413.07</v>
      </c>
      <c r="E21" s="95">
        <f>'DOE25'!H22</f>
        <v>239380.68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75574.14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136198.65</v>
      </c>
      <c r="D23" s="95">
        <f>'DOE25'!G24</f>
        <v>197.36</v>
      </c>
      <c r="E23" s="95">
        <f>'DOE25'!H24</f>
        <v>31775.13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25305.74</v>
      </c>
      <c r="D27" s="95">
        <f>'DOE25'!G28</f>
        <v>1076.31</v>
      </c>
      <c r="E27" s="95">
        <f>'DOE25'!H28</f>
        <v>6545.11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58750.16</v>
      </c>
      <c r="D29" s="95">
        <f>'DOE25'!G30</f>
        <v>10373.14</v>
      </c>
      <c r="E29" s="95">
        <f>'DOE25'!H30</f>
        <v>128614.11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295828.68999999994</v>
      </c>
      <c r="D31" s="41">
        <f>SUM(D21:D30)</f>
        <v>32059.88</v>
      </c>
      <c r="E31" s="41">
        <f>SUM(E21:E30)</f>
        <v>406315.02999999997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174489.1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21430.78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155000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389983.6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389853.45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571152.4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657646.64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1766972.79</v>
      </c>
      <c r="D50" s="41">
        <f>SUM(D34:D49)</f>
        <v>21430.78</v>
      </c>
      <c r="E50" s="41">
        <f>SUM(E34:E49)</f>
        <v>0</v>
      </c>
      <c r="F50" s="41">
        <f>SUM(F34:F49)</f>
        <v>0</v>
      </c>
      <c r="G50" s="41">
        <f>SUM(G34:G49)</f>
        <v>571152.4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2062801.48</v>
      </c>
      <c r="D51" s="41">
        <f>D50+D31</f>
        <v>53490.66</v>
      </c>
      <c r="E51" s="41">
        <f>E50+E31</f>
        <v>406315.02999999997</v>
      </c>
      <c r="F51" s="41">
        <f>F50+F31</f>
        <v>0</v>
      </c>
      <c r="G51" s="41">
        <f>G50+G31</f>
        <v>571152.4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13524296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59303.03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3599.72</v>
      </c>
      <c r="D59" s="95">
        <f>'DOE25'!G96</f>
        <v>6.56</v>
      </c>
      <c r="E59" s="95">
        <f>'DOE25'!H96</f>
        <v>0</v>
      </c>
      <c r="F59" s="95">
        <f>'DOE25'!I96</f>
        <v>0</v>
      </c>
      <c r="G59" s="95">
        <f>'DOE25'!J96</f>
        <v>8120.54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243099.26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34468.89</v>
      </c>
      <c r="D61" s="95">
        <f>SUM('DOE25'!G98:G110)</f>
        <v>0</v>
      </c>
      <c r="E61" s="95">
        <f>SUM('DOE25'!H98:H110)</f>
        <v>85787.64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97371.64</v>
      </c>
      <c r="D62" s="130">
        <f>SUM(D57:D61)</f>
        <v>243105.82</v>
      </c>
      <c r="E62" s="130">
        <f>SUM(E57:E61)</f>
        <v>85787.64</v>
      </c>
      <c r="F62" s="130">
        <f>SUM(F57:F61)</f>
        <v>0</v>
      </c>
      <c r="G62" s="130">
        <f>SUM(G57:G61)</f>
        <v>8120.54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13621667.640000001</v>
      </c>
      <c r="D63" s="22">
        <f>D56+D62</f>
        <v>243105.82</v>
      </c>
      <c r="E63" s="22">
        <f>E56+E62</f>
        <v>85787.64</v>
      </c>
      <c r="F63" s="22">
        <f>F56+F62</f>
        <v>0</v>
      </c>
      <c r="G63" s="22">
        <f>G56+G62</f>
        <v>8120.54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4812944.09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2069842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12527.92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6895314.0099999998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48609.26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8681.4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8674.8700000000008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57290.66</v>
      </c>
      <c r="D78" s="130">
        <f>SUM(D72:D77)</f>
        <v>8674.8700000000008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6952604.6699999999</v>
      </c>
      <c r="D81" s="130">
        <f>SUM(D79:D80)+D78+D70</f>
        <v>8674.8700000000008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105056.05</v>
      </c>
      <c r="D88" s="95">
        <f>SUM('DOE25'!G153:G161)</f>
        <v>268462.56</v>
      </c>
      <c r="E88" s="95">
        <f>SUM('DOE25'!H153:H161)</f>
        <v>851381.8600000001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105056.05</v>
      </c>
      <c r="D91" s="131">
        <f>SUM(D85:D90)</f>
        <v>268462.56</v>
      </c>
      <c r="E91" s="131">
        <f>SUM(E85:E90)</f>
        <v>851381.8600000001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40315.800000000003</v>
      </c>
      <c r="E96" s="95">
        <f>'DOE25'!H179</f>
        <v>0</v>
      </c>
      <c r="F96" s="95">
        <f>'DOE25'!I179</f>
        <v>0</v>
      </c>
      <c r="G96" s="95">
        <f>'DOE25'!J179</f>
        <v>85000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45458.62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45458.62</v>
      </c>
      <c r="D103" s="86">
        <f>SUM(D93:D102)</f>
        <v>40315.800000000003</v>
      </c>
      <c r="E103" s="86">
        <f>SUM(E93:E102)</f>
        <v>0</v>
      </c>
      <c r="F103" s="86">
        <f>SUM(F93:F102)</f>
        <v>0</v>
      </c>
      <c r="G103" s="86">
        <f>SUM(G93:G102)</f>
        <v>85000</v>
      </c>
    </row>
    <row r="104" spans="1:7" ht="12.75" thickTop="1" thickBot="1" x14ac:dyDescent="0.25">
      <c r="A104" s="33" t="s">
        <v>759</v>
      </c>
      <c r="C104" s="86">
        <f>C63+C81+C91+C103</f>
        <v>20724786.980000004</v>
      </c>
      <c r="D104" s="86">
        <f>D63+D81+D91+D103</f>
        <v>560559.05000000005</v>
      </c>
      <c r="E104" s="86">
        <f>E63+E81+E91+E103</f>
        <v>937169.50000000012</v>
      </c>
      <c r="F104" s="86">
        <f>F63+F81+F91+F103</f>
        <v>0</v>
      </c>
      <c r="G104" s="86">
        <f>G63+G81+G103</f>
        <v>93120.54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9080939.3099999987</v>
      </c>
      <c r="D109" s="24" t="s">
        <v>286</v>
      </c>
      <c r="E109" s="95">
        <f>('DOE25'!L276)+('DOE25'!L295)+('DOE25'!L314)</f>
        <v>329610.97000000003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2677486.09</v>
      </c>
      <c r="D110" s="24" t="s">
        <v>286</v>
      </c>
      <c r="E110" s="95">
        <f>('DOE25'!L277)+('DOE25'!L296)+('DOE25'!L315)</f>
        <v>399758.79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166916.27000000002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408280.02</v>
      </c>
      <c r="D112" s="24" t="s">
        <v>286</v>
      </c>
      <c r="E112" s="95">
        <f>+('DOE25'!L279)+('DOE25'!L298)+('DOE25'!L317)</f>
        <v>52976.829999999994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3086.16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12336707.849999998</v>
      </c>
      <c r="D115" s="86">
        <f>SUM(D109:D114)</f>
        <v>0</v>
      </c>
      <c r="E115" s="86">
        <f>SUM(E109:E114)</f>
        <v>782346.59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2199262.4</v>
      </c>
      <c r="D118" s="24" t="s">
        <v>286</v>
      </c>
      <c r="E118" s="95">
        <f>+('DOE25'!L281)+('DOE25'!L300)+('DOE25'!L319)</f>
        <v>218.44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1093140</v>
      </c>
      <c r="D119" s="24" t="s">
        <v>286</v>
      </c>
      <c r="E119" s="95">
        <f>+('DOE25'!L282)+('DOE25'!L301)+('DOE25'!L320)</f>
        <v>125929.74999999999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366545.08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1189530.95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310540.98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1705226.7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908941.87</v>
      </c>
      <c r="D124" s="24" t="s">
        <v>286</v>
      </c>
      <c r="E124" s="95">
        <f>+('DOE25'!L287)+('DOE25'!L306)+('DOE25'!L325)</f>
        <v>28674.719999999998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565235.91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7773187.9800000004</v>
      </c>
      <c r="D128" s="86">
        <f>SUM(D118:D127)</f>
        <v>565235.91</v>
      </c>
      <c r="E128" s="86">
        <f>SUM(E118:E127)</f>
        <v>154822.90999999997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778113.66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77958.100000000006</v>
      </c>
    </row>
    <row r="135" spans="1:7" x14ac:dyDescent="0.2">
      <c r="A135" t="s">
        <v>233</v>
      </c>
      <c r="B135" s="32" t="s">
        <v>234</v>
      </c>
      <c r="C135" s="95">
        <f>'DOE25'!L263</f>
        <v>40315.800000000003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333.87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92786.67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-8120.5399999999936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903429.46000000008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77958.100000000006</v>
      </c>
    </row>
    <row r="145" spans="1:9" ht="12.75" thickTop="1" thickBot="1" x14ac:dyDescent="0.25">
      <c r="A145" s="33" t="s">
        <v>244</v>
      </c>
      <c r="C145" s="86">
        <f>(C115+C128+C144)</f>
        <v>21013325.289999999</v>
      </c>
      <c r="D145" s="86">
        <f>(D115+D128+D144)</f>
        <v>565235.91</v>
      </c>
      <c r="E145" s="86">
        <f>(E115+E128+E144)</f>
        <v>937169.5</v>
      </c>
      <c r="F145" s="86">
        <f>(F115+F128+F144)</f>
        <v>0</v>
      </c>
      <c r="G145" s="86">
        <f>(G115+G128+G144)</f>
        <v>77958.100000000006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Shaker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15301</v>
      </c>
    </row>
    <row r="5" spans="1:4" x14ac:dyDescent="0.2">
      <c r="B5" t="s">
        <v>698</v>
      </c>
      <c r="C5" s="179">
        <f>IF('DOE25'!G665+'DOE25'!G670=0,0,ROUND('DOE25'!G672,0))</f>
        <v>15625</v>
      </c>
    </row>
    <row r="6" spans="1:4" x14ac:dyDescent="0.2">
      <c r="B6" t="s">
        <v>62</v>
      </c>
      <c r="C6" s="179">
        <f>IF('DOE25'!H665+'DOE25'!H670=0,0,ROUND('DOE25'!H672,0))</f>
        <v>15426</v>
      </c>
    </row>
    <row r="7" spans="1:4" x14ac:dyDescent="0.2">
      <c r="B7" t="s">
        <v>699</v>
      </c>
      <c r="C7" s="179">
        <f>IF('DOE25'!I665+'DOE25'!I670=0,0,ROUND('DOE25'!I672,0))</f>
        <v>15434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9410550</v>
      </c>
      <c r="D10" s="182">
        <f>ROUND((C10/$C$28)*100,1)</f>
        <v>44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3077245</v>
      </c>
      <c r="D11" s="182">
        <f>ROUND((C11/$C$28)*100,1)</f>
        <v>14.4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166916</v>
      </c>
      <c r="D12" s="182">
        <f>ROUND((C12/$C$28)*100,1)</f>
        <v>0.8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461257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2199481</v>
      </c>
      <c r="D15" s="182">
        <f t="shared" ref="D15:D27" si="0">ROUND((C15/$C$28)*100,1)</f>
        <v>10.3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1219070</v>
      </c>
      <c r="D16" s="182">
        <f t="shared" si="0"/>
        <v>5.7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366545</v>
      </c>
      <c r="D17" s="182">
        <f t="shared" si="0"/>
        <v>1.7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1189531</v>
      </c>
      <c r="D18" s="182">
        <f t="shared" si="0"/>
        <v>5.6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310541</v>
      </c>
      <c r="D19" s="182">
        <f t="shared" si="0"/>
        <v>1.5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1705227</v>
      </c>
      <c r="D20" s="182">
        <f t="shared" si="0"/>
        <v>8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937617</v>
      </c>
      <c r="D21" s="182">
        <f t="shared" si="0"/>
        <v>4.4000000000000004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3086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322136.74</v>
      </c>
      <c r="D27" s="182">
        <f t="shared" si="0"/>
        <v>1.5</v>
      </c>
    </row>
    <row r="28" spans="1:4" x14ac:dyDescent="0.2">
      <c r="B28" s="187" t="s">
        <v>717</v>
      </c>
      <c r="C28" s="180">
        <f>SUM(C10:C27)</f>
        <v>21369202.739999998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778114</v>
      </c>
    </row>
    <row r="30" spans="1:4" x14ac:dyDescent="0.2">
      <c r="B30" s="187" t="s">
        <v>723</v>
      </c>
      <c r="C30" s="180">
        <f>SUM(C28:C29)</f>
        <v>22147316.739999998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13524296</v>
      </c>
      <c r="D35" s="182">
        <f t="shared" ref="D35:D40" si="1">ROUND((C35/$C$41)*100,1)</f>
        <v>61.7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191286.37999999896</v>
      </c>
      <c r="D36" s="182">
        <f t="shared" si="1"/>
        <v>0.9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6882786</v>
      </c>
      <c r="D37" s="182">
        <f t="shared" si="1"/>
        <v>31.4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78493</v>
      </c>
      <c r="D38" s="182">
        <f t="shared" si="1"/>
        <v>0.4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1224900</v>
      </c>
      <c r="D39" s="182">
        <f t="shared" si="1"/>
        <v>5.6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21901761.379999999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Shaker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2018-08-20T19:09:37Z</cp:lastPrinted>
  <dcterms:created xsi:type="dcterms:W3CDTF">1997-12-04T19:04:30Z</dcterms:created>
  <dcterms:modified xsi:type="dcterms:W3CDTF">2018-12-03T19:55:52Z</dcterms:modified>
</cp:coreProperties>
</file>