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15" yWindow="-15" windowWidth="12600" windowHeight="123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0" i="12" l="1"/>
  <c r="G533" i="1"/>
  <c r="G532" i="1"/>
  <c r="G531" i="1"/>
  <c r="F532" i="1"/>
  <c r="F533" i="1"/>
  <c r="F531" i="1"/>
  <c r="F215" i="1"/>
  <c r="F233" i="1"/>
  <c r="J604" i="1"/>
  <c r="G97" i="1"/>
  <c r="G48" i="1" l="1"/>
  <c r="C12" i="12" l="1"/>
  <c r="C11" i="12"/>
  <c r="C10" i="12"/>
  <c r="B12" i="12"/>
  <c r="C21" i="12"/>
  <c r="C20" i="12"/>
  <c r="C19" i="12"/>
  <c r="C39" i="12"/>
  <c r="B11" i="12"/>
  <c r="B21" i="12"/>
  <c r="B20" i="12"/>
  <c r="B19" i="12"/>
  <c r="C28" i="12" l="1"/>
  <c r="B28" i="12"/>
  <c r="C29" i="12"/>
  <c r="D11" i="13"/>
  <c r="D9" i="13" l="1"/>
  <c r="F558" i="1" l="1"/>
  <c r="H559" i="1"/>
  <c r="H558" i="1"/>
  <c r="H557" i="1"/>
  <c r="G559" i="1"/>
  <c r="G558" i="1"/>
  <c r="G557" i="1"/>
  <c r="F559" i="1"/>
  <c r="F557" i="1"/>
  <c r="H497" i="1" l="1"/>
  <c r="I499" i="1"/>
  <c r="I498" i="1"/>
  <c r="H499" i="1"/>
  <c r="H498" i="1"/>
  <c r="G499" i="1"/>
  <c r="G498" i="1"/>
  <c r="H502" i="1"/>
  <c r="H501" i="1"/>
  <c r="F499" i="1"/>
  <c r="H493" i="1"/>
  <c r="I604" i="1" l="1"/>
  <c r="H604" i="1"/>
  <c r="F611" i="1" l="1"/>
  <c r="G613" i="1"/>
  <c r="G612" i="1"/>
  <c r="G611" i="1"/>
  <c r="F613" i="1"/>
  <c r="F612" i="1"/>
  <c r="I613" i="1"/>
  <c r="I612" i="1"/>
  <c r="I611" i="1"/>
  <c r="J591" i="1"/>
  <c r="I591" i="1"/>
  <c r="H591" i="1"/>
  <c r="G582" i="1"/>
  <c r="F582" i="1"/>
  <c r="I360" i="1" l="1"/>
  <c r="I359" i="1"/>
  <c r="I358" i="1"/>
  <c r="H360" i="1"/>
  <c r="H359" i="1"/>
  <c r="H358" i="1"/>
  <c r="G233" i="1" l="1"/>
  <c r="G215" i="1"/>
  <c r="G197" i="1"/>
  <c r="F197" i="1"/>
  <c r="F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C109" i="2" s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123" i="2" s="1"/>
  <c r="F15" i="13"/>
  <c r="G15" i="13"/>
  <c r="L208" i="1"/>
  <c r="L226" i="1"/>
  <c r="L244" i="1"/>
  <c r="F17" i="13"/>
  <c r="G17" i="13"/>
  <c r="L251" i="1"/>
  <c r="C114" i="2" s="1"/>
  <c r="F18" i="13"/>
  <c r="G18" i="13"/>
  <c r="L252" i="1"/>
  <c r="D18" i="13" s="1"/>
  <c r="C18" i="13" s="1"/>
  <c r="F19" i="13"/>
  <c r="D19" i="13" s="1"/>
  <c r="C19" i="13" s="1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H662" i="1" s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L611" i="1"/>
  <c r="C40" i="10"/>
  <c r="F60" i="1"/>
  <c r="G60" i="1"/>
  <c r="H60" i="1"/>
  <c r="I60" i="1"/>
  <c r="F79" i="1"/>
  <c r="C57" i="2" s="1"/>
  <c r="F94" i="1"/>
  <c r="C58" i="2" s="1"/>
  <c r="F111" i="1"/>
  <c r="G111" i="1"/>
  <c r="H79" i="1"/>
  <c r="E57" i="2" s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E113" i="2" s="1"/>
  <c r="L254" i="1"/>
  <c r="L268" i="1"/>
  <c r="L269" i="1"/>
  <c r="L349" i="1"/>
  <c r="C26" i="10" s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K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F78" i="2" s="1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C113" i="2"/>
  <c r="D115" i="2"/>
  <c r="F115" i="2"/>
  <c r="G115" i="2"/>
  <c r="E120" i="2"/>
  <c r="C121" i="2"/>
  <c r="E124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G32" i="1"/>
  <c r="G52" i="1" s="1"/>
  <c r="H618" i="1" s="1"/>
  <c r="H32" i="1"/>
  <c r="I32" i="1"/>
  <c r="H617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I369" i="1" s="1"/>
  <c r="H634" i="1" s="1"/>
  <c r="J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J643" i="1" s="1"/>
  <c r="G401" i="1"/>
  <c r="H401" i="1"/>
  <c r="H408" i="1" s="1"/>
  <c r="H644" i="1" s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I452" i="1"/>
  <c r="F460" i="1"/>
  <c r="G460" i="1"/>
  <c r="H460" i="1"/>
  <c r="I460" i="1"/>
  <c r="F461" i="1"/>
  <c r="F470" i="1"/>
  <c r="F476" i="1" s="1"/>
  <c r="H622" i="1" s="1"/>
  <c r="J622" i="1" s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3" i="1"/>
  <c r="G644" i="1"/>
  <c r="G645" i="1"/>
  <c r="G651" i="1"/>
  <c r="G652" i="1"/>
  <c r="H652" i="1"/>
  <c r="G653" i="1"/>
  <c r="H653" i="1"/>
  <c r="G654" i="1"/>
  <c r="H654" i="1"/>
  <c r="H655" i="1"/>
  <c r="F192" i="1"/>
  <c r="D50" i="2"/>
  <c r="G62" i="2"/>
  <c r="I169" i="1"/>
  <c r="J140" i="1"/>
  <c r="G22" i="2"/>
  <c r="H552" i="1"/>
  <c r="H140" i="1"/>
  <c r="H25" i="13"/>
  <c r="C25" i="13" s="1"/>
  <c r="H192" i="1"/>
  <c r="J655" i="1"/>
  <c r="G36" i="2"/>
  <c r="H545" i="1" l="1"/>
  <c r="J552" i="1"/>
  <c r="L544" i="1"/>
  <c r="J545" i="1"/>
  <c r="J476" i="1"/>
  <c r="H626" i="1" s="1"/>
  <c r="H52" i="1"/>
  <c r="H619" i="1" s="1"/>
  <c r="K545" i="1"/>
  <c r="I545" i="1"/>
  <c r="G545" i="1"/>
  <c r="K550" i="1"/>
  <c r="K549" i="1"/>
  <c r="L524" i="1"/>
  <c r="G156" i="2"/>
  <c r="K500" i="1"/>
  <c r="G157" i="2"/>
  <c r="E16" i="13"/>
  <c r="C16" i="13" s="1"/>
  <c r="G161" i="2"/>
  <c r="G164" i="2"/>
  <c r="L570" i="1"/>
  <c r="J571" i="1"/>
  <c r="I571" i="1"/>
  <c r="H571" i="1"/>
  <c r="L565" i="1"/>
  <c r="K571" i="1"/>
  <c r="F571" i="1"/>
  <c r="L560" i="1"/>
  <c r="H663" i="1"/>
  <c r="G663" i="1"/>
  <c r="F663" i="1"/>
  <c r="K605" i="1"/>
  <c r="G648" i="1" s="1"/>
  <c r="K598" i="1"/>
  <c r="G647" i="1" s="1"/>
  <c r="J651" i="1"/>
  <c r="H461" i="1"/>
  <c r="H641" i="1" s="1"/>
  <c r="J641" i="1" s="1"/>
  <c r="G461" i="1"/>
  <c r="H640" i="1" s="1"/>
  <c r="J640" i="1" s="1"/>
  <c r="I461" i="1"/>
  <c r="H642" i="1" s="1"/>
  <c r="I446" i="1"/>
  <c r="G642" i="1" s="1"/>
  <c r="J639" i="1"/>
  <c r="L433" i="1"/>
  <c r="L427" i="1"/>
  <c r="L434" i="1" s="1"/>
  <c r="G638" i="1" s="1"/>
  <c r="J638" i="1" s="1"/>
  <c r="L419" i="1"/>
  <c r="I408" i="1"/>
  <c r="L401" i="1"/>
  <c r="C139" i="2" s="1"/>
  <c r="G408" i="1"/>
  <c r="H645" i="1" s="1"/>
  <c r="J645" i="1" s="1"/>
  <c r="L393" i="1"/>
  <c r="C138" i="2" s="1"/>
  <c r="F130" i="2"/>
  <c r="F144" i="2" s="1"/>
  <c r="F145" i="2" s="1"/>
  <c r="G661" i="1"/>
  <c r="L362" i="1"/>
  <c r="G635" i="1" s="1"/>
  <c r="J635" i="1" s="1"/>
  <c r="H33" i="13"/>
  <c r="E114" i="2"/>
  <c r="E119" i="2"/>
  <c r="L328" i="1"/>
  <c r="E112" i="2"/>
  <c r="C11" i="10"/>
  <c r="E125" i="2"/>
  <c r="G662" i="1"/>
  <c r="E123" i="2"/>
  <c r="E122" i="2"/>
  <c r="E121" i="2"/>
  <c r="E118" i="2"/>
  <c r="E111" i="2"/>
  <c r="L309" i="1"/>
  <c r="H338" i="1"/>
  <c r="H352" i="1" s="1"/>
  <c r="G338" i="1"/>
  <c r="G352" i="1" s="1"/>
  <c r="F338" i="1"/>
  <c r="F352" i="1" s="1"/>
  <c r="K338" i="1"/>
  <c r="K352" i="1" s="1"/>
  <c r="I476" i="1"/>
  <c r="H625" i="1" s="1"/>
  <c r="H476" i="1"/>
  <c r="H624" i="1" s="1"/>
  <c r="G476" i="1"/>
  <c r="H623" i="1" s="1"/>
  <c r="J623" i="1" s="1"/>
  <c r="L270" i="1"/>
  <c r="C29" i="10"/>
  <c r="D17" i="13"/>
  <c r="C17" i="13" s="1"/>
  <c r="L256" i="1"/>
  <c r="C20" i="10"/>
  <c r="L247" i="1"/>
  <c r="I257" i="1"/>
  <c r="I271" i="1" s="1"/>
  <c r="C21" i="10"/>
  <c r="G650" i="1"/>
  <c r="C122" i="2"/>
  <c r="C118" i="2"/>
  <c r="C13" i="10"/>
  <c r="C12" i="10"/>
  <c r="F257" i="1"/>
  <c r="F271" i="1" s="1"/>
  <c r="K257" i="1"/>
  <c r="K271" i="1" s="1"/>
  <c r="J257" i="1"/>
  <c r="J271" i="1" s="1"/>
  <c r="G257" i="1"/>
  <c r="G271" i="1" s="1"/>
  <c r="L229" i="1"/>
  <c r="A13" i="12"/>
  <c r="C125" i="2"/>
  <c r="D14" i="13"/>
  <c r="C14" i="13" s="1"/>
  <c r="C18" i="10"/>
  <c r="C17" i="10"/>
  <c r="C16" i="10"/>
  <c r="D7" i="13"/>
  <c r="C7" i="13" s="1"/>
  <c r="C112" i="2"/>
  <c r="L211" i="1"/>
  <c r="A40" i="12"/>
  <c r="H257" i="1"/>
  <c r="H271" i="1" s="1"/>
  <c r="C10" i="10"/>
  <c r="D5" i="13"/>
  <c r="C5" i="13" s="1"/>
  <c r="J644" i="1"/>
  <c r="G81" i="2"/>
  <c r="E103" i="2"/>
  <c r="E78" i="2"/>
  <c r="E81" i="2" s="1"/>
  <c r="E62" i="2"/>
  <c r="E63" i="2" s="1"/>
  <c r="D62" i="2"/>
  <c r="D63" i="2" s="1"/>
  <c r="G192" i="1"/>
  <c r="D91" i="2"/>
  <c r="D81" i="2"/>
  <c r="C91" i="2"/>
  <c r="C78" i="2"/>
  <c r="C81" i="2" s="1"/>
  <c r="C70" i="2"/>
  <c r="F112" i="1"/>
  <c r="C35" i="10"/>
  <c r="J112" i="1"/>
  <c r="I52" i="1"/>
  <c r="H620" i="1" s="1"/>
  <c r="J620" i="1" s="1"/>
  <c r="F18" i="2"/>
  <c r="G624" i="1"/>
  <c r="E31" i="2"/>
  <c r="D18" i="2"/>
  <c r="D31" i="2"/>
  <c r="D51" i="2" s="1"/>
  <c r="J617" i="1"/>
  <c r="C18" i="2"/>
  <c r="F22" i="13"/>
  <c r="C22" i="13" s="1"/>
  <c r="G552" i="1"/>
  <c r="H112" i="1"/>
  <c r="H193" i="1" s="1"/>
  <c r="G629" i="1" s="1"/>
  <c r="J629" i="1" s="1"/>
  <c r="D29" i="13"/>
  <c r="C29" i="13" s="1"/>
  <c r="E8" i="13"/>
  <c r="C8" i="13" s="1"/>
  <c r="D12" i="13"/>
  <c r="C12" i="13" s="1"/>
  <c r="L290" i="1"/>
  <c r="L539" i="1"/>
  <c r="K503" i="1"/>
  <c r="L382" i="1"/>
  <c r="G636" i="1" s="1"/>
  <c r="J636" i="1" s="1"/>
  <c r="E109" i="2"/>
  <c r="C62" i="2"/>
  <c r="F661" i="1"/>
  <c r="C19" i="10"/>
  <c r="C15" i="10"/>
  <c r="G112" i="1"/>
  <c r="E13" i="13"/>
  <c r="C13" i="13" s="1"/>
  <c r="D6" i="13"/>
  <c r="C6" i="13" s="1"/>
  <c r="D15" i="13"/>
  <c r="C15" i="13" s="1"/>
  <c r="G649" i="1"/>
  <c r="J649" i="1" s="1"/>
  <c r="J338" i="1"/>
  <c r="J352" i="1" s="1"/>
  <c r="E130" i="2"/>
  <c r="E144" i="2" s="1"/>
  <c r="D127" i="2"/>
  <c r="D128" i="2" s="1"/>
  <c r="D145" i="2" s="1"/>
  <c r="C124" i="2"/>
  <c r="C120" i="2"/>
  <c r="C111" i="2"/>
  <c r="C56" i="2"/>
  <c r="F662" i="1"/>
  <c r="I662" i="1" s="1"/>
  <c r="F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I192" i="1"/>
  <c r="E91" i="2"/>
  <c r="E104" i="2" s="1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19" i="1"/>
  <c r="D103" i="2"/>
  <c r="I140" i="1"/>
  <c r="A22" i="12"/>
  <c r="J652" i="1"/>
  <c r="G571" i="1"/>
  <c r="I434" i="1"/>
  <c r="G434" i="1"/>
  <c r="I661" i="1" l="1"/>
  <c r="K552" i="1"/>
  <c r="C141" i="2"/>
  <c r="C144" i="2" s="1"/>
  <c r="L571" i="1"/>
  <c r="I663" i="1"/>
  <c r="J647" i="1"/>
  <c r="J642" i="1"/>
  <c r="G51" i="2"/>
  <c r="C27" i="10"/>
  <c r="C28" i="10" s="1"/>
  <c r="D19" i="10" s="1"/>
  <c r="J624" i="1"/>
  <c r="E115" i="2"/>
  <c r="E128" i="2"/>
  <c r="L338" i="1"/>
  <c r="L352" i="1" s="1"/>
  <c r="H660" i="1"/>
  <c r="H664" i="1" s="1"/>
  <c r="H672" i="1" s="1"/>
  <c r="C6" i="10" s="1"/>
  <c r="G660" i="1"/>
  <c r="G664" i="1" s="1"/>
  <c r="G667" i="1" s="1"/>
  <c r="F33" i="13"/>
  <c r="H648" i="1"/>
  <c r="J648" i="1" s="1"/>
  <c r="C115" i="2"/>
  <c r="C128" i="2"/>
  <c r="E33" i="13"/>
  <c r="D35" i="13" s="1"/>
  <c r="F660" i="1"/>
  <c r="L257" i="1"/>
  <c r="L271" i="1" s="1"/>
  <c r="I193" i="1"/>
  <c r="G630" i="1" s="1"/>
  <c r="J630" i="1" s="1"/>
  <c r="C36" i="10"/>
  <c r="D104" i="2"/>
  <c r="F193" i="1"/>
  <c r="G627" i="1" s="1"/>
  <c r="J627" i="1" s="1"/>
  <c r="F104" i="2"/>
  <c r="L408" i="1"/>
  <c r="L545" i="1"/>
  <c r="C63" i="2"/>
  <c r="C104" i="2" s="1"/>
  <c r="F51" i="2"/>
  <c r="D31" i="13"/>
  <c r="C31" i="13" s="1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3" i="1" l="1"/>
  <c r="J633" i="1" s="1"/>
  <c r="E145" i="2"/>
  <c r="H667" i="1"/>
  <c r="G672" i="1"/>
  <c r="C5" i="10" s="1"/>
  <c r="I660" i="1"/>
  <c r="I664" i="1" s="1"/>
  <c r="I672" i="1" s="1"/>
  <c r="C7" i="10" s="1"/>
  <c r="D33" i="13"/>
  <c r="D36" i="13" s="1"/>
  <c r="F664" i="1"/>
  <c r="F672" i="1" s="1"/>
  <c r="C4" i="10" s="1"/>
  <c r="G632" i="1"/>
  <c r="J632" i="1" s="1"/>
  <c r="C145" i="2"/>
  <c r="D11" i="10"/>
  <c r="D12" i="10"/>
  <c r="D18" i="10"/>
  <c r="D22" i="10"/>
  <c r="D27" i="10"/>
  <c r="D17" i="10"/>
  <c r="D24" i="10"/>
  <c r="D13" i="10"/>
  <c r="D21" i="10"/>
  <c r="D10" i="10"/>
  <c r="D26" i="10"/>
  <c r="C30" i="10"/>
  <c r="D16" i="10"/>
  <c r="D23" i="10"/>
  <c r="D20" i="10"/>
  <c r="D15" i="10"/>
  <c r="D25" i="10"/>
  <c r="G637" i="1"/>
  <c r="J637" i="1" s="1"/>
  <c r="H646" i="1"/>
  <c r="J646" i="1" s="1"/>
  <c r="C41" i="10"/>
  <c r="D38" i="10" s="1"/>
  <c r="I667" i="1" l="1"/>
  <c r="F667" i="1"/>
  <c r="H656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<sst xmlns="http://schemas.openxmlformats.org/spreadsheetml/2006/main" count="3965" uniqueCount="920">
  <si>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</si>
  <si>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</si>
  <si>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</si>
  <si>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</si>
  <si>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</si>
  <si>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</si>
  <si>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</si>
  <si>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</si>
  <si>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</si>
  <si>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</si>
  <si>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</si>
  <si>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</si>
  <si>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</si>
  <si>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</si>
  <si>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</si>
  <si>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</si>
  <si>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</si>
  <si>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</si>
  <si>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</si>
  <si>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</si>
  <si>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</si>
  <si>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</si>
  <si>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</si>
  <si>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</si>
  <si>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</si>
  <si>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</si>
  <si>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</si>
  <si>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</si>
  <si>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</si>
  <si>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</si>
  <si>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</si>
  <si>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</si>
  <si>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</si>
  <si>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</si>
  <si>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</si>
  <si>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</si>
  <si>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</si>
  <si>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</si>
  <si>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</si>
  <si>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</si>
  <si>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</si>
  <si>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</si>
  <si>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</si>
  <si>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</si>
  <si>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</si>
  <si>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</si>
  <si>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</si>
  <si>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</si>
  <si>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</si>
  <si>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</si>
  <si>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</si>
  <si>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</si>
  <si>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</si>
  <si>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</si>
  <si>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</si>
  <si>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</si>
  <si>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</si>
  <si>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</si>
  <si>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</si>
  <si>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</si>
  <si>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</si>
  <si>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</si>
  <si>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</si>
  <si>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</si>
  <si>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</si>
  <si>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</si>
  <si>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</si>
  <si>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</si>
  <si>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</si>
  <si>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</si>
  <si>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</si>
  <si>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</si>
  <si>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</si>
  <si>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</si>
  <si>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</si>
  <si>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</si>
  <si>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</si>
  <si>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</si>
  <si>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</si>
  <si>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</si>
  <si>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</si>
  <si>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</si>
  <si>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</si>
  <si>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</si>
  <si>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</si>
  <si>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</si>
  <si>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</si>
  <si>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</si>
  <si>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</si>
  <si>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</si>
  <si>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</si>
  <si>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</si>
  <si>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</si>
  <si>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</si>
  <si>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</si>
  <si>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</si>
  <si>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</si>
  <si>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</si>
  <si>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</si>
  <si>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</si>
  <si>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</si>
  <si>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</si>
  <si>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</si>
  <si>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</si>
  <si>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</si>
  <si>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</si>
  <si>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</si>
  <si>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</si>
  <si>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</si>
  <si>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</si>
  <si>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</si>
  <si>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</si>
  <si>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</si>
  <si>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</si>
  <si>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</si>
  <si>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</si>
  <si>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</si>
  <si>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</si>
  <si>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</si>
  <si>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</si>
  <si>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</si>
  <si>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</si>
  <si>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</si>
  <si>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</si>
  <si>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</si>
  <si>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</si>
  <si>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</si>
  <si>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</si>
  <si>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</si>
  <si>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</si>
  <si>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</si>
  <si>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</si>
  <si>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</si>
  <si>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</si>
  <si>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</si>
  <si>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</si>
  <si>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</si>
  <si>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</si>
  <si>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</si>
  <si>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</si>
  <si>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</si>
  <si>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</si>
  <si>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</si>
  <si>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</si>
  <si>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</si>
  <si>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</si>
  <si>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</si>
  <si>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</si>
  <si>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</si>
  <si>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</si>
  <si>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</si>
  <si>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</si>
  <si>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</si>
  <si>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</si>
  <si>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</si>
  <si>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</si>
  <si>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</si>
  <si>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</si>
  <si>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</si>
  <si>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</si>
  <si>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</si>
  <si>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</si>
  <si>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</si>
  <si>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</si>
  <si>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</si>
  <si>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</si>
  <si>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</si>
  <si>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</si>
  <si>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</si>
  <si>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</si>
  <si>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</si>
  <si>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</si>
  <si>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</si>
  <si>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</si>
  <si>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</si>
  <si>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</si>
  <si>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</si>
  <si>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</si>
  <si>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</si>
  <si>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</si>
  <si>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</si>
  <si>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</si>
  <si>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</si>
  <si>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</si>
  <si>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</si>
  <si>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</si>
  <si>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</si>
  <si>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</si>
  <si>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</si>
  <si>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</si>
  <si>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</si>
  <si>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</si>
  <si>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</si>
  <si>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</si>
  <si>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</si>
  <si>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</si>
  <si>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</si>
  <si>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</si>
  <si>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</si>
  <si>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</si>
  <si>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</si>
  <si>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</si>
  <si>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</si>
  <si>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</si>
  <si>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</si>
  <si>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</si>
  <si>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</si>
  <si>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</si>
  <si>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</si>
  <si>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</si>
  <si>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</si>
  <si>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</si>
  <si>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</si>
  <si>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</si>
  <si>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</si>
  <si>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</si>
  <si>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</si>
  <si>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</si>
  <si>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</si>
  <si>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</si>
  <si>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</si>
  <si>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</si>
  <si>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</si>
  <si>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</si>
  <si>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</si>
  <si>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</si>
  <si>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</si>
  <si>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</si>
  <si>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</si>
  <si>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</si>
  <si>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</si>
  <si>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</si>
  <si>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</si>
  <si>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</si>
  <si>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</si>
  <si>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</si>
  <si>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</si>
  <si>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</si>
  <si>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</si>
  <si>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</si>
  <si>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</si>
  <si>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</si>
  <si>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</si>
  <si>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</si>
  <si>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</si>
  <si>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</si>
  <si>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</si>
  <si>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</si>
  <si>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</si>
  <si>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</si>
  <si>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</si>
  <si>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</si>
  <si>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</si>
  <si>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</si>
  <si>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</si>
  <si>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</si>
  <si>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</si>
  <si>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</si>
  <si>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</si>
  <si>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</si>
  <si>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</si>
  <si>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</si>
  <si>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</si>
  <si>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</si>
  <si>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</si>
  <si>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</si>
  <si>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</si>
  <si>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</si>
  <si>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</si>
  <si>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</si>
  <si>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</si>
  <si>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</si>
  <si>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</si>
  <si>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</si>
  <si>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</si>
  <si>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</si>
  <si>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</si>
  <si>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</si>
  <si>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</si>
  <si>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</si>
  <si>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</si>
  <si>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</si>
  <si>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</si>
  <si>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</si>
  <si>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</si>
  <si>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</si>
  <si>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</si>
  <si>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</si>
  <si>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</si>
  <si>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</si>
  <si>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</si>
  <si>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</si>
  <si>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</si>
  <si>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</si>
  <si>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</si>
  <si>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</si>
  <si>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</si>
  <si>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</si>
  <si>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</si>
  <si>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</si>
  <si>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</si>
  <si>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</si>
  <si>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</si>
  <si>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</si>
  <si>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</si>
  <si>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</si>
  <si>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</si>
  <si>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</si>
  <si>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</si>
  <si>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</si>
  <si>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</si>
  <si>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</si>
  <si>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</si>
  <si>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</si>
  <si>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</si>
  <si>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</si>
  <si>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</si>
  <si>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</si>
  <si>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</si>
  <si>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</si>
  <si>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</si>
  <si>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</si>
  <si>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</si>
  <si>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</si>
  <si>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</si>
  <si>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</si>
  <si>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</si>
  <si>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</si>
  <si>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</si>
  <si>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</si>
  <si>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</si>
  <si>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</si>
  <si>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</si>
  <si>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</si>
  <si>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</si>
  <si>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</si>
  <si>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</si>
  <si>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</si>
  <si>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</si>
  <si>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</si>
  <si>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</si>
  <si>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</si>
  <si>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</si>
  <si>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</si>
  <si>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</si>
  <si>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</si>
  <si>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</si>
  <si>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</si>
  <si>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</si>
  <si>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</si>
  <si>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</si>
  <si>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</si>
  <si>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</si>
  <si>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</si>
  <si>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</si>
  <si>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</si>
  <si>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</si>
  <si>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</si>
  <si>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</si>
  <si>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</si>
  <si>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</si>
  <si>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</si>
  <si>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</si>
  <si>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</si>
  <si>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</si>
  <si>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</si>
  <si>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</si>
  <si>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</si>
  <si>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</si>
  <si>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</si>
  <si>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</si>
  <si>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</si>
  <si>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</si>
  <si>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</si>
  <si>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</si>
  <si>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</si>
  <si>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</si>
  <si>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</si>
  <si>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</si>
  <si>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</si>
  <si>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</si>
  <si>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</si>
  <si>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</si>
  <si>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</si>
  <si>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</si>
  <si>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</si>
  <si>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</si>
  <si>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</si>
  <si>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</si>
  <si>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</si>
  <si>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</si>
  <si>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</si>
  <si>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</si>
  <si>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</si>
  <si>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</si>
  <si>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</si>
  <si>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</si>
  <si>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</si>
  <si>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</si>
  <si>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</si>
  <si>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</si>
  <si>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</si>
  <si>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</si>
  <si>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</si>
  <si>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</si>
  <si>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</si>
  <si>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</si>
  <si>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</si>
  <si>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</si>
  <si>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</si>
  <si>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</si>
  <si>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</si>
  <si>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</si>
  <si>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</si>
  <si>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</si>
  <si>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</si>
  <si>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</si>
  <si>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</si>
  <si>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</si>
  <si>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</si>
  <si>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</si>
  <si>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</si>
  <si>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</si>
  <si>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</si>
  <si>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</si>
  <si>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</si>
  <si>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</si>
  <si>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</si>
  <si>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</si>
  <si>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</si>
  <si>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</si>
  <si>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</si>
  <si>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</si>
  <si>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</si>
  <si>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</si>
  <si>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</si>
  <si>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</si>
  <si>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</si>
  <si>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</si>
  <si>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</si>
  <si>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</si>
  <si>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</si>
  <si>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</si>
  <si>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</si>
  <si>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</si>
  <si>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</si>
  <si>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</si>
  <si>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</si>
  <si>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</si>
  <si>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</si>
  <si>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</si>
  <si>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</si>
  <si>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</si>
  <si>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</si>
  <si>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</si>
  <si>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</si>
  <si>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</si>
  <si>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</si>
  <si>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</si>
  <si>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</si>
  <si>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</si>
  <si>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</si>
  <si>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</si>
  <si>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</si>
  <si>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</si>
  <si>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</si>
  <si>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</si>
  <si>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</si>
  <si>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</si>
  <si>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</si>
  <si>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</si>
  <si>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</si>
  <si>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</si>
  <si>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</si>
  <si>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</si>
  <si>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</si>
  <si>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</si>
  <si>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</si>
  <si>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</si>
  <si>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</si>
  <si>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</si>
  <si>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</si>
  <si>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</si>
  <si>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</si>
  <si>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</si>
  <si>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</si>
  <si>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</si>
  <si>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</si>
  <si>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</si>
  <si>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</si>
  <si>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</si>
  <si>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</si>
  <si>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</si>
  <si>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</si>
  <si>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</si>
  <si>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</si>
  <si>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</si>
  <si>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</si>
  <si>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</si>
  <si>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</si>
  <si>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</si>
  <si>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</si>
  <si>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</si>
  <si>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</si>
  <si>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</si>
  <si>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</si>
  <si>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</si>
  <si>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</si>
  <si>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</si>
  <si>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</si>
  <si>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</si>
  <si>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</si>
  <si>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</si>
  <si>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</si>
  <si>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</si>
  <si>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</si>
  <si>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</si>
  <si>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</si>
  <si>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</si>
  <si>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</si>
  <si>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</si>
  <si>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</si>
  <si>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</si>
  <si>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</si>
  <si>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</si>
  <si>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</si>
  <si>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</si>
  <si>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</si>
  <si>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</si>
  <si>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</si>
  <si>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</si>
  <si>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</si>
  <si>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</si>
  <si>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</si>
  <si>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</si>
  <si>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</si>
  <si>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</si>
  <si>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</si>
  <si>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</si>
  <si>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</si>
  <si>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</si>
  <si>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</si>
  <si>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</si>
  <si>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</si>
  <si>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</si>
  <si>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</si>
  <si>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</si>
  <si>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</si>
  <si>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</si>
  <si>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</si>
  <si>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</si>
  <si>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</si>
  <si>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</si>
  <si>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</si>
  <si>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</si>
  <si>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</si>
  <si>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</si>
  <si>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</si>
  <si>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</si>
  <si>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</si>
  <si>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</si>
  <si>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</si>
  <si>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</si>
  <si>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</si>
  <si>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</si>
  <si>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</si>
  <si>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</si>
  <si>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</si>
  <si>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</si>
  <si>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</si>
  <si>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</si>
  <si>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</si>
  <si>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</si>
  <si>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</si>
  <si>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</si>
  <si>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</si>
  <si>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</si>
  <si>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</si>
  <si>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</si>
  <si>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</si>
  <si>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</si>
  <si>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</si>
  <si>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</si>
  <si>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</si>
  <si>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</si>
  <si>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</si>
  <si>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</si>
  <si>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</si>
  <si>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</si>
  <si>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</si>
  <si>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</si>
  <si>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</si>
  <si>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</si>
  <si>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</si>
  <si>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</si>
  <si>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</si>
  <si>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</si>
  <si>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</si>
  <si>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</si>
  <si>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</si>
  <si>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</si>
  <si>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</si>
  <si>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</si>
  <si>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</si>
  <si>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</si>
  <si>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</si>
  <si>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</si>
  <si>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</si>
  <si>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</si>
  <si>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</si>
  <si>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</si>
  <si>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</si>
  <si>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</si>
  <si>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</si>
  <si>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</si>
  <si>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</si>
  <si>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</si>
  <si>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</si>
  <si>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</si>
  <si>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</si>
  <si>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</si>
  <si>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</si>
  <si>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</si>
  <si>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</si>
  <si>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</si>
  <si>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</si>
  <si>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</si>
  <si>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</si>
  <si>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</si>
  <si>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</si>
  <si>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</si>
  <si>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</si>
  <si>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</si>
  <si>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</si>
  <si>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</si>
  <si>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</si>
  <si>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</si>
  <si>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</si>
  <si>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</si>
  <si>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</si>
  <si>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</si>
  <si>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</si>
  <si>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</si>
  <si>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</si>
  <si>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</si>
  <si>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</si>
  <si>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</si>
  <si>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</si>
  <si>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</si>
  <si>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</si>
  <si>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</si>
  <si>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</si>
  <si>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</si>
  <si>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</si>
  <si>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</si>
  <si>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</si>
  <si>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</si>
  <si>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</si>
  <si>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</si>
  <si>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</si>
  <si>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</si>
  <si>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</si>
  <si>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</si>
  <si>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</si>
  <si>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</si>
  <si>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</si>
  <si>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</si>
  <si>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</si>
  <si>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</si>
  <si>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</si>
  <si>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</si>
  <si>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</si>
  <si>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</si>
  <si>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</si>
  <si>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</si>
  <si>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</si>
  <si>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</si>
  <si>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</si>
  <si>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</si>
  <si>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</si>
  <si>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</si>
  <si>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</si>
  <si>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</si>
  <si>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</si>
  <si>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</si>
  <si>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</si>
  <si>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</si>
  <si>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</si>
  <si>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</si>
  <si>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</si>
  <si>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</si>
  <si>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</si>
  <si>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</si>
  <si>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</si>
  <si>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</si>
  <si>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</si>
  <si>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</si>
  <si>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</si>
  <si>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</si>
  <si>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</si>
  <si>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</si>
  <si>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</si>
  <si>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</si>
  <si>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</si>
  <si>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</si>
  <si>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</si>
  <si>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</si>
  <si>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</si>
  <si>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</si>
  <si>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</si>
  <si>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</si>
  <si>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</si>
  <si>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</si>
  <si>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</si>
  <si>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</si>
  <si>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</si>
  <si>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</si>
  <si>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</si>
  <si>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</si>
  <si>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</si>
  <si>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</si>
  <si>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</si>
  <si>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</si>
  <si>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</si>
  <si>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</si>
  <si>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</si>
  <si>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</si>
  <si>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</si>
  <si>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</si>
  <si>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</si>
  <si>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</si>
  <si>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</si>
  <si>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</si>
  <si>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</si>
  <si>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</si>
  <si>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</si>
  <si>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</si>
  <si>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</si>
  <si>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</si>
  <si>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</si>
  <si>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</si>
  <si>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</si>
  <si>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</si>
  <si>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</si>
  <si>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</si>
  <si>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</si>
  <si>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</si>
  <si>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</si>
  <si>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</si>
  <si>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</si>
  <si>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</si>
  <si>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</si>
  <si>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</si>
  <si>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</si>
  <si>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</si>
  <si>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</si>
  <si>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</si>
  <si>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</si>
  <si>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</si>
  <si>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</si>
  <si>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</si>
  <si>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</si>
  <si>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</si>
  <si>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</si>
  <si>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</si>
  <si>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</si>
  <si>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</si>
  <si>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</si>
  <si>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</si>
  <si>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</si>
  <si>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</si>
  <si>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</si>
  <si>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</si>
  <si>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</si>
  <si>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</si>
  <si>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</si>
  <si>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</si>
  <si>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</si>
  <si>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</si>
  <si>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</si>
  <si>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</si>
  <si>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</si>
  <si>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</si>
  <si>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</si>
  <si>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</si>
  <si>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</si>
  <si>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</si>
  <si>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</si>
  <si>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</si>
  <si>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</si>
  <si>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</si>
  <si>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</si>
  <si>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</si>
  <si>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</si>
  <si>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</si>
  <si>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</si>
  <si>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</si>
  <si>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</si>
  <si>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</si>
  <si>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</si>
  <si>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</si>
  <si>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</si>
  <si>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</si>
  <si>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</si>
  <si>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</si>
  <si>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</si>
  <si>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</si>
  <si>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</si>
  <si>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</si>
  <si>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</si>
  <si>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</si>
  <si>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</si>
  <si>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</si>
  <si>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</si>
  <si>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</si>
  <si>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</si>
  <si>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</si>
  <si>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</si>
  <si>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</si>
  <si>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</si>
  <si>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</si>
  <si>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</si>
  <si>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</si>
  <si>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</si>
  <si>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</si>
  <si>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</si>
  <si>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</si>
  <si>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</si>
  <si>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</si>
  <si>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</si>
  <si>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</si>
  <si>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</si>
  <si>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</si>
  <si>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</si>
  <si>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</si>
  <si>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</si>
  <si>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</si>
  <si>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</si>
  <si>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</si>
  <si>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</si>
  <si>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</si>
  <si>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</si>
  <si>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</si>
  <si>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</si>
  <si>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</si>
  <si>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</si>
  <si>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</si>
  <si>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</si>
  <si>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</si>
  <si>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</si>
  <si>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</si>
  <si>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</si>
  <si>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</si>
  <si>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</si>
  <si>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</si>
  <si>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</si>
  <si>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</si>
  <si>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</si>
  <si>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</si>
  <si>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</si>
  <si>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</si>
  <si>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</si>
  <si>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</si>
  <si>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</si>
  <si>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</si>
  <si>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</si>
  <si>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</si>
  <si>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</si>
  <si>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</si>
  <si>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</si>
  <si>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</si>
  <si>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</si>
  <si>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</si>
  <si>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</si>
  <si>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</si>
  <si>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</si>
  <si>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</si>
  <si>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</si>
  <si>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</si>
  <si>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</si>
  <si>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</si>
  <si>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</si>
  <si>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</si>
  <si>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</si>
  <si>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</si>
  <si>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</si>
  <si>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</si>
  <si>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</si>
  <si>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</si>
  <si>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</si>
  <si>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</si>
  <si>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</si>
  <si>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</si>
  <si>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</si>
  <si>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</si>
  <si>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</si>
  <si>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</si>
  <si>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</si>
  <si>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</si>
  <si>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</si>
  <si>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</si>
  <si>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</si>
  <si>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</si>
  <si>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</si>
  <si>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</si>
  <si>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</si>
  <si>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</si>
  <si>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</si>
  <si>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</si>
  <si>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</si>
  <si>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</si>
  <si>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</si>
  <si>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</t>
  </si>
  <si>
    <t>01/10</t>
  </si>
  <si>
    <t>08/13</t>
  </si>
  <si>
    <t>01/30</t>
  </si>
  <si>
    <t>08/28</t>
  </si>
  <si>
    <t>02/16</t>
  </si>
  <si>
    <t>08/31</t>
  </si>
  <si>
    <t>Somersworth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</si>
</sst>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7" activePane="bottomRight" state="frozen"/>
      <selection pane="topRight" activeCell="F1" sqref="F1"/>
      <selection pane="bottomLeft" activeCell="A4" sqref="A4"/>
      <selection pane="bottomRight" activeCell="H159" sqref="H159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919</v>
      </c>
      <c r="B2" s="21">
        <v>491</v>
      </c>
      <c r="C2" s="21">
        <v>491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0</v>
      </c>
      <c r="G9" s="18">
        <v>15855.89</v>
      </c>
      <c r="H9" s="18">
        <v>0</v>
      </c>
      <c r="I9" s="18">
        <v>0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0</v>
      </c>
      <c r="G13" s="18">
        <v>43793.51</v>
      </c>
      <c r="H13" s="18">
        <v>856149.53</v>
      </c>
      <c r="I13" s="18">
        <v>0</v>
      </c>
      <c r="J13" s="67">
        <f>SUM(I442)</f>
        <v>59539.29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58255.49</v>
      </c>
      <c r="G14" s="18">
        <v>1771.5</v>
      </c>
      <c r="H14" s="18">
        <v>0</v>
      </c>
      <c r="I14" s="18">
        <v>0</v>
      </c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>
        <v>0</v>
      </c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155776.63</v>
      </c>
      <c r="G18" s="18">
        <v>66260.800000000003</v>
      </c>
      <c r="H18" s="145">
        <v>0</v>
      </c>
      <c r="I18" s="18">
        <v>75000</v>
      </c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214032.12</v>
      </c>
      <c r="G19" s="41">
        <f>SUM(G9:G18)</f>
        <v>127681.70000000001</v>
      </c>
      <c r="H19" s="41">
        <f>SUM(H9:H18)</f>
        <v>856149.53</v>
      </c>
      <c r="I19" s="41">
        <f>SUM(I9:I18)</f>
        <v>75000</v>
      </c>
      <c r="J19" s="41">
        <f>SUM(J9:J18)</f>
        <v>59539.29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488.88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214032.12</v>
      </c>
      <c r="G24" s="18">
        <v>9402.0300000000007</v>
      </c>
      <c r="H24" s="18">
        <v>40406.67</v>
      </c>
      <c r="I24" s="18">
        <v>39627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14150.15</v>
      </c>
      <c r="H31" s="18">
        <v>700524.15</v>
      </c>
      <c r="I31" s="18">
        <v>0</v>
      </c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214032.12</v>
      </c>
      <c r="G32" s="41">
        <f>SUM(G22:G31)</f>
        <v>23552.18</v>
      </c>
      <c r="H32" s="41">
        <f>SUM(H22:H31)</f>
        <v>740930.82000000007</v>
      </c>
      <c r="I32" s="41">
        <f>SUM(I22:I31)</f>
        <v>39627</v>
      </c>
      <c r="J32" s="41">
        <f>SUM(J22:J31)</f>
        <v>488.88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0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0</v>
      </c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0</v>
      </c>
      <c r="G48" s="18">
        <f>127681.7-23552.18</f>
        <v>104129.51999999999</v>
      </c>
      <c r="H48" s="18">
        <v>115218.71</v>
      </c>
      <c r="I48" s="18">
        <v>35373</v>
      </c>
      <c r="J48" s="13">
        <f>SUM(I459)</f>
        <v>59050.41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0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0</v>
      </c>
      <c r="G51" s="41">
        <f>SUM(G35:G50)</f>
        <v>104129.51999999999</v>
      </c>
      <c r="H51" s="41">
        <f>SUM(H35:H50)</f>
        <v>115218.71</v>
      </c>
      <c r="I51" s="41">
        <f>SUM(I35:I50)</f>
        <v>35373</v>
      </c>
      <c r="J51" s="41">
        <f>SUM(J35:J50)</f>
        <v>59050.41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214032.12</v>
      </c>
      <c r="G52" s="41">
        <f>G51+G32</f>
        <v>127681.69999999998</v>
      </c>
      <c r="H52" s="41">
        <f>H51+H32</f>
        <v>856149.53</v>
      </c>
      <c r="I52" s="41">
        <f>I51+I32</f>
        <v>75000</v>
      </c>
      <c r="J52" s="41">
        <f>J51+J32</f>
        <v>59539.29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14962053.57</v>
      </c>
      <c r="G57" s="18">
        <v>0</v>
      </c>
      <c r="H57" s="18">
        <v>0</v>
      </c>
      <c r="I57" s="18">
        <v>0</v>
      </c>
      <c r="J57" s="18">
        <v>0</v>
      </c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0</v>
      </c>
      <c r="G58" s="18">
        <v>0</v>
      </c>
      <c r="H58" s="24" t="s">
        <v>286</v>
      </c>
      <c r="I58" s="18">
        <v>0</v>
      </c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106191.74</v>
      </c>
      <c r="G59" s="18">
        <v>0</v>
      </c>
      <c r="H59" s="18">
        <v>0</v>
      </c>
      <c r="I59" s="18">
        <v>0</v>
      </c>
      <c r="J59" s="18">
        <v>0</v>
      </c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15068245.310000001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0</v>
      </c>
      <c r="G63" s="24" t="s">
        <v>286</v>
      </c>
      <c r="H63" s="18">
        <v>0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0</v>
      </c>
      <c r="G64" s="24" t="s">
        <v>286</v>
      </c>
      <c r="H64" s="18">
        <v>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0</v>
      </c>
      <c r="G65" s="24" t="s">
        <v>286</v>
      </c>
      <c r="H65" s="18">
        <v>0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>
        <v>0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f>210058.89+50990.09</f>
        <v>261048.98</v>
      </c>
      <c r="G68" s="24" t="s">
        <v>286</v>
      </c>
      <c r="H68" s="18">
        <v>0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16365</v>
      </c>
      <c r="G69" s="24" t="s">
        <v>286</v>
      </c>
      <c r="H69" s="18">
        <v>0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5425.72</v>
      </c>
      <c r="G70" s="24" t="s">
        <v>286</v>
      </c>
      <c r="H70" s="18">
        <v>0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0</v>
      </c>
      <c r="G72" s="24" t="s">
        <v>286</v>
      </c>
      <c r="H72" s="18">
        <v>0</v>
      </c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>
        <v>0</v>
      </c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0</v>
      </c>
      <c r="G74" s="24" t="s">
        <v>286</v>
      </c>
      <c r="H74" s="18">
        <v>0</v>
      </c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>
        <v>0</v>
      </c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0</v>
      </c>
      <c r="G77" s="24" t="s">
        <v>286</v>
      </c>
      <c r="H77" s="18">
        <v>0</v>
      </c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0</v>
      </c>
      <c r="G78" s="24" t="s">
        <v>286</v>
      </c>
      <c r="H78" s="18">
        <v>0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282839.69999999995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0</v>
      </c>
      <c r="G83" s="24" t="s">
        <v>286</v>
      </c>
      <c r="H83" s="18">
        <v>0</v>
      </c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>
        <v>0</v>
      </c>
      <c r="G84" s="24" t="s">
        <v>286</v>
      </c>
      <c r="H84" s="18">
        <v>0</v>
      </c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0</v>
      </c>
      <c r="G86" s="24" t="s">
        <v>286</v>
      </c>
      <c r="H86" s="18">
        <v>0</v>
      </c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0</v>
      </c>
      <c r="G87" s="24" t="s">
        <v>286</v>
      </c>
      <c r="H87" s="18">
        <v>0</v>
      </c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>
        <v>0</v>
      </c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>
        <v>0</v>
      </c>
      <c r="G90" s="24" t="s">
        <v>286</v>
      </c>
      <c r="H90" s="18">
        <v>0</v>
      </c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>
        <v>0</v>
      </c>
      <c r="G91" s="24" t="s">
        <v>286</v>
      </c>
      <c r="H91" s="18">
        <v>0</v>
      </c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>
        <v>0</v>
      </c>
      <c r="G92" s="24" t="s">
        <v>286</v>
      </c>
      <c r="H92" s="18">
        <v>0</v>
      </c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0</v>
      </c>
      <c r="G93" s="24" t="s">
        <v>286</v>
      </c>
      <c r="H93" s="18">
        <v>0</v>
      </c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264608.61+19021+2082.8-113994.04+19043.35+53951.72+50765.76-14150.15</f>
        <v>281329.05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0</v>
      </c>
      <c r="G98" s="24" t="s">
        <v>286</v>
      </c>
      <c r="H98" s="18">
        <v>0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0</v>
      </c>
      <c r="G99" s="18">
        <v>0</v>
      </c>
      <c r="H99" s="18">
        <v>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3912.5</v>
      </c>
      <c r="G101" s="18">
        <v>0</v>
      </c>
      <c r="H101" s="18">
        <v>0</v>
      </c>
      <c r="I101" s="18">
        <v>0</v>
      </c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0</v>
      </c>
      <c r="G103" s="18">
        <v>0</v>
      </c>
      <c r="H103" s="18">
        <v>0</v>
      </c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0</v>
      </c>
      <c r="G104" s="24" t="s">
        <v>286</v>
      </c>
      <c r="H104" s="18">
        <v>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0</v>
      </c>
      <c r="G105" s="18">
        <v>0</v>
      </c>
      <c r="H105" s="18">
        <v>0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0</v>
      </c>
      <c r="G106" s="18">
        <v>0</v>
      </c>
      <c r="H106" s="18">
        <v>0</v>
      </c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0</v>
      </c>
      <c r="G110" s="18">
        <v>21032.05</v>
      </c>
      <c r="H110" s="18">
        <v>0</v>
      </c>
      <c r="I110" s="18">
        <v>0</v>
      </c>
      <c r="J110" s="18">
        <v>58850.02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3912.5</v>
      </c>
      <c r="G111" s="41">
        <f>SUM(G96:G110)</f>
        <v>302361.09999999998</v>
      </c>
      <c r="H111" s="41">
        <f>SUM(H96:H110)</f>
        <v>0</v>
      </c>
      <c r="I111" s="41">
        <f>SUM(I96:I110)</f>
        <v>0</v>
      </c>
      <c r="J111" s="41">
        <f>SUM(J96:J110)</f>
        <v>58850.02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15354997.51</v>
      </c>
      <c r="G112" s="41">
        <f>G60+G111</f>
        <v>302361.09999999998</v>
      </c>
      <c r="H112" s="41">
        <f>H60+H79+H94+H111</f>
        <v>0</v>
      </c>
      <c r="I112" s="41">
        <f>I60+I111</f>
        <v>0</v>
      </c>
      <c r="J112" s="41">
        <f>J60+J111</f>
        <v>58850.02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7429197.6799999997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1882114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16122.76</v>
      </c>
      <c r="G120" s="18">
        <v>0</v>
      </c>
      <c r="H120" s="18">
        <v>0</v>
      </c>
      <c r="I120" s="18">
        <v>0</v>
      </c>
      <c r="J120" s="18">
        <v>0</v>
      </c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9327434.4399999995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674243.03</v>
      </c>
      <c r="G123" s="24" t="s">
        <v>286</v>
      </c>
      <c r="H123" s="24" t="s">
        <v>286</v>
      </c>
      <c r="I123" s="18">
        <v>0</v>
      </c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0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162730.75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22311.279999999999</v>
      </c>
      <c r="G127" s="24" t="s">
        <v>286</v>
      </c>
      <c r="H127" s="18">
        <v>0</v>
      </c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5230.8</v>
      </c>
      <c r="G128" s="24" t="s">
        <v>286</v>
      </c>
      <c r="H128" s="18">
        <v>0</v>
      </c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>
        <v>0</v>
      </c>
      <c r="G129" s="24" t="s">
        <v>286</v>
      </c>
      <c r="H129" s="18">
        <v>0</v>
      </c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>
        <v>0</v>
      </c>
      <c r="G130" s="24" t="s">
        <v>286</v>
      </c>
      <c r="H130" s="18">
        <v>0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>
        <v>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9287.15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>
        <v>0</v>
      </c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864515.8600000001</v>
      </c>
      <c r="G136" s="41">
        <f>SUM(G123:G135)</f>
        <v>9287.15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>
        <v>0</v>
      </c>
      <c r="G137" s="18"/>
      <c r="H137" s="18">
        <v>0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>
        <v>0</v>
      </c>
      <c r="G138" s="24" t="s">
        <v>286</v>
      </c>
      <c r="H138" s="18">
        <v>0</v>
      </c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10191950.299999999</v>
      </c>
      <c r="G140" s="41">
        <f>G121+SUM(G136:G137)</f>
        <v>9287.15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0</v>
      </c>
      <c r="G150" s="24" t="s">
        <v>286</v>
      </c>
      <c r="H150" s="18">
        <v>0</v>
      </c>
      <c r="I150" s="18">
        <v>0</v>
      </c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>
        <v>0</v>
      </c>
      <c r="G151" s="24" t="s">
        <v>286</v>
      </c>
      <c r="H151" s="18">
        <v>0</v>
      </c>
      <c r="I151" s="18">
        <v>0</v>
      </c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>
        <v>0</v>
      </c>
      <c r="G152" s="24" t="s">
        <v>286</v>
      </c>
      <c r="H152" s="18">
        <v>0</v>
      </c>
      <c r="I152" s="18">
        <v>0</v>
      </c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746562.07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785621.59999999986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101488.52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0</v>
      </c>
      <c r="G157" s="24" t="s">
        <v>286</v>
      </c>
      <c r="H157" s="18">
        <v>0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444735.35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>
        <v>415962.06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364332.06</v>
      </c>
      <c r="G160" s="24" t="s">
        <v>286</v>
      </c>
      <c r="H160" s="18">
        <v>0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364332.06</v>
      </c>
      <c r="G162" s="41">
        <f>SUM(G150:G161)</f>
        <v>444735.35</v>
      </c>
      <c r="H162" s="41">
        <f>SUM(H150:H161)</f>
        <v>2049634.25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>
        <v>0</v>
      </c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0</v>
      </c>
      <c r="G168" s="18">
        <v>0</v>
      </c>
      <c r="H168" s="18">
        <v>0</v>
      </c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364332.06</v>
      </c>
      <c r="G169" s="41">
        <f>G147+G162+SUM(G163:G168)</f>
        <v>444735.35</v>
      </c>
      <c r="H169" s="41">
        <f>H147+H162+SUM(H163:H168)</f>
        <v>2049634.25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0</v>
      </c>
      <c r="G173" s="24" t="s">
        <v>286</v>
      </c>
      <c r="H173" s="24" t="s">
        <v>286</v>
      </c>
      <c r="I173" s="18">
        <v>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>
        <v>0</v>
      </c>
      <c r="G174" s="24" t="s">
        <v>286</v>
      </c>
      <c r="H174" s="24" t="s">
        <v>286</v>
      </c>
      <c r="I174" s="18">
        <v>0</v>
      </c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>
        <v>0</v>
      </c>
      <c r="G175" s="24" t="s">
        <v>286</v>
      </c>
      <c r="H175" s="24" t="s">
        <v>286</v>
      </c>
      <c r="I175" s="18">
        <v>0</v>
      </c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0</v>
      </c>
      <c r="G176" s="24" t="s">
        <v>286</v>
      </c>
      <c r="H176" s="24" t="s">
        <v>286</v>
      </c>
      <c r="I176" s="18">
        <v>0</v>
      </c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3012.95</v>
      </c>
      <c r="H179" s="18">
        <v>0</v>
      </c>
      <c r="I179" s="18">
        <v>0</v>
      </c>
      <c r="J179" s="18">
        <v>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>
        <v>0</v>
      </c>
      <c r="G180" s="24" t="s">
        <v>286</v>
      </c>
      <c r="H180" s="18">
        <v>0</v>
      </c>
      <c r="I180" s="18">
        <v>0</v>
      </c>
      <c r="J180" s="18">
        <v>0</v>
      </c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0</v>
      </c>
      <c r="G181" s="18">
        <v>0</v>
      </c>
      <c r="H181" s="24" t="s">
        <v>286</v>
      </c>
      <c r="I181" s="18">
        <v>0</v>
      </c>
      <c r="J181" s="18">
        <v>0</v>
      </c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>
        <v>0</v>
      </c>
      <c r="H182" s="18">
        <v>0</v>
      </c>
      <c r="I182" s="24" t="s">
        <v>286</v>
      </c>
      <c r="J182" s="18">
        <v>0</v>
      </c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3012.95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0</v>
      </c>
      <c r="G187" s="18">
        <v>0</v>
      </c>
      <c r="H187" s="18">
        <v>0</v>
      </c>
      <c r="I187" s="18">
        <v>75000</v>
      </c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75000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3012.95</v>
      </c>
      <c r="H192" s="41">
        <f>+H183+SUM(H188:H191)</f>
        <v>0</v>
      </c>
      <c r="I192" s="41">
        <f>I177+I183+SUM(I188:I191)</f>
        <v>75000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25911279.869999997</v>
      </c>
      <c r="G193" s="47">
        <f>G112+G140+G169+G192</f>
        <v>759396.54999999993</v>
      </c>
      <c r="H193" s="47">
        <f>H112+H140+H169+H192</f>
        <v>2049634.25</v>
      </c>
      <c r="I193" s="47">
        <f>I112+I140+I169+I192</f>
        <v>75000</v>
      </c>
      <c r="J193" s="47">
        <f>J112+J140+J192</f>
        <v>58850.02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2232489.5+41402.82</f>
        <v>2273892.3199999998</v>
      </c>
      <c r="G197" s="18">
        <f>1243197.56+181594.69</f>
        <v>1424792.25</v>
      </c>
      <c r="H197" s="18">
        <v>83155.539999999994</v>
      </c>
      <c r="I197" s="18">
        <v>68529.08</v>
      </c>
      <c r="J197" s="18">
        <v>1036.6500000000001</v>
      </c>
      <c r="K197" s="18">
        <v>0</v>
      </c>
      <c r="L197" s="19">
        <f>SUM(F197:K197)</f>
        <v>3851405.84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1264670.74</v>
      </c>
      <c r="G198" s="18">
        <v>789690.72</v>
      </c>
      <c r="H198" s="18">
        <v>464084.33</v>
      </c>
      <c r="I198" s="18">
        <v>3589.59</v>
      </c>
      <c r="J198" s="18">
        <v>0</v>
      </c>
      <c r="K198" s="18">
        <v>0</v>
      </c>
      <c r="L198" s="19">
        <f>SUM(F198:K198)</f>
        <v>2522035.38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470948.37</v>
      </c>
      <c r="G202" s="18">
        <v>229255.44</v>
      </c>
      <c r="H202" s="18">
        <v>232725.6</v>
      </c>
      <c r="I202" s="18">
        <v>2184.96</v>
      </c>
      <c r="J202" s="18">
        <v>0</v>
      </c>
      <c r="K202" s="18">
        <v>5516.35</v>
      </c>
      <c r="L202" s="19">
        <f t="shared" ref="L202:L208" si="0">SUM(F202:K202)</f>
        <v>940630.72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56955</v>
      </c>
      <c r="G203" s="18">
        <v>39202.699999999997</v>
      </c>
      <c r="H203" s="18">
        <v>15835.38</v>
      </c>
      <c r="I203" s="18">
        <v>3613.11</v>
      </c>
      <c r="J203" s="18">
        <v>0</v>
      </c>
      <c r="K203" s="18">
        <v>0</v>
      </c>
      <c r="L203" s="19">
        <f t="shared" si="0"/>
        <v>115606.19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1663.9</v>
      </c>
      <c r="G204" s="18">
        <v>311.18</v>
      </c>
      <c r="H204" s="18">
        <v>420543.3</v>
      </c>
      <c r="I204" s="18">
        <v>3397.76</v>
      </c>
      <c r="J204" s="18">
        <v>0</v>
      </c>
      <c r="K204" s="18">
        <v>2517.86</v>
      </c>
      <c r="L204" s="19">
        <f t="shared" si="0"/>
        <v>428434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369890.25</v>
      </c>
      <c r="G205" s="18">
        <v>182180.81</v>
      </c>
      <c r="H205" s="18">
        <v>5640.88</v>
      </c>
      <c r="I205" s="18">
        <v>17651.689999999999</v>
      </c>
      <c r="J205" s="18">
        <v>0</v>
      </c>
      <c r="K205" s="18">
        <v>765</v>
      </c>
      <c r="L205" s="19">
        <f t="shared" si="0"/>
        <v>576128.63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317013.59999999998</v>
      </c>
      <c r="G207" s="18">
        <v>146599.39000000001</v>
      </c>
      <c r="H207" s="18">
        <v>215293.15</v>
      </c>
      <c r="I207" s="18">
        <v>226755.79</v>
      </c>
      <c r="J207" s="18">
        <v>0</v>
      </c>
      <c r="K207" s="18">
        <v>0</v>
      </c>
      <c r="L207" s="19">
        <f t="shared" si="0"/>
        <v>905661.93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601463.93999999994</v>
      </c>
      <c r="I208" s="18">
        <v>2197.81</v>
      </c>
      <c r="J208" s="18">
        <v>0</v>
      </c>
      <c r="K208" s="18">
        <v>0</v>
      </c>
      <c r="L208" s="19">
        <f t="shared" si="0"/>
        <v>603661.75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0</v>
      </c>
      <c r="H209" s="18">
        <v>103954.21</v>
      </c>
      <c r="I209" s="18">
        <v>0</v>
      </c>
      <c r="J209" s="18">
        <v>0</v>
      </c>
      <c r="K209" s="18">
        <v>0</v>
      </c>
      <c r="L209" s="19">
        <f>SUM(F209:K209)</f>
        <v>103954.21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4755034.18</v>
      </c>
      <c r="G211" s="41">
        <f t="shared" si="1"/>
        <v>2812032.49</v>
      </c>
      <c r="H211" s="41">
        <f t="shared" si="1"/>
        <v>2142696.3299999996</v>
      </c>
      <c r="I211" s="41">
        <f t="shared" si="1"/>
        <v>327919.78999999998</v>
      </c>
      <c r="J211" s="41">
        <f t="shared" si="1"/>
        <v>1036.6500000000001</v>
      </c>
      <c r="K211" s="41">
        <f t="shared" si="1"/>
        <v>8799.2100000000009</v>
      </c>
      <c r="L211" s="41">
        <f t="shared" si="1"/>
        <v>10047518.65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1330443.25+18996.59-0.03</f>
        <v>1349439.81</v>
      </c>
      <c r="G215" s="18">
        <f>659846.62+83319.92</f>
        <v>743166.54</v>
      </c>
      <c r="H215" s="18">
        <v>48091.839999999997</v>
      </c>
      <c r="I215" s="18">
        <v>35633</v>
      </c>
      <c r="J215" s="18">
        <v>15715.49</v>
      </c>
      <c r="K215" s="18">
        <v>0</v>
      </c>
      <c r="L215" s="19">
        <f>SUM(F215:K215)</f>
        <v>2192046.6800000002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718890.65</v>
      </c>
      <c r="G216" s="18">
        <v>475536.62</v>
      </c>
      <c r="H216" s="18">
        <v>390325.87</v>
      </c>
      <c r="I216" s="18">
        <v>5578.96</v>
      </c>
      <c r="J216" s="18">
        <v>0</v>
      </c>
      <c r="K216" s="18">
        <v>0</v>
      </c>
      <c r="L216" s="19">
        <f>SUM(F216:K216)</f>
        <v>1590332.1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27083.53</v>
      </c>
      <c r="G218" s="18">
        <v>5589.46</v>
      </c>
      <c r="H218" s="18">
        <v>3669.66</v>
      </c>
      <c r="I218" s="18">
        <v>1184.5</v>
      </c>
      <c r="J218" s="18">
        <v>1040.75</v>
      </c>
      <c r="K218" s="18">
        <v>0</v>
      </c>
      <c r="L218" s="19">
        <f>SUM(F218:K218)</f>
        <v>38567.899999999994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299008.2</v>
      </c>
      <c r="G220" s="18">
        <v>184417.76</v>
      </c>
      <c r="H220" s="18">
        <v>82761.490000000005</v>
      </c>
      <c r="I220" s="18">
        <v>1796.37</v>
      </c>
      <c r="J220" s="18">
        <v>0</v>
      </c>
      <c r="K220" s="18">
        <v>2499.37</v>
      </c>
      <c r="L220" s="19">
        <f t="shared" ref="L220:L226" si="2">SUM(F220:K220)</f>
        <v>570483.19000000006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40207</v>
      </c>
      <c r="G221" s="18">
        <v>34825.21</v>
      </c>
      <c r="H221" s="18">
        <v>6855.97</v>
      </c>
      <c r="I221" s="18">
        <v>2655.8</v>
      </c>
      <c r="J221" s="18">
        <v>0</v>
      </c>
      <c r="K221" s="18">
        <v>0</v>
      </c>
      <c r="L221" s="19">
        <f t="shared" si="2"/>
        <v>84543.98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763.44</v>
      </c>
      <c r="G222" s="18">
        <v>142.78</v>
      </c>
      <c r="H222" s="18">
        <v>192955.16</v>
      </c>
      <c r="I222" s="18">
        <v>1558.97</v>
      </c>
      <c r="J222" s="18">
        <v>0</v>
      </c>
      <c r="K222" s="18">
        <v>1155.25</v>
      </c>
      <c r="L222" s="19">
        <f t="shared" si="2"/>
        <v>196575.6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242725.56</v>
      </c>
      <c r="G223" s="18">
        <v>121288.58</v>
      </c>
      <c r="H223" s="18">
        <v>3833.18</v>
      </c>
      <c r="I223" s="18">
        <v>13636.58</v>
      </c>
      <c r="J223" s="18">
        <v>954</v>
      </c>
      <c r="K223" s="18">
        <v>1000</v>
      </c>
      <c r="L223" s="19">
        <f t="shared" si="2"/>
        <v>383437.9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173103.51</v>
      </c>
      <c r="G225" s="18">
        <v>70500.100000000006</v>
      </c>
      <c r="H225" s="18">
        <v>95255.27</v>
      </c>
      <c r="I225" s="18">
        <v>114424.64</v>
      </c>
      <c r="J225" s="18">
        <v>121.35</v>
      </c>
      <c r="K225" s="18">
        <v>0</v>
      </c>
      <c r="L225" s="19">
        <f t="shared" si="2"/>
        <v>453404.87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282297.48</v>
      </c>
      <c r="I226" s="18">
        <v>1008.41</v>
      </c>
      <c r="J226" s="18">
        <v>0</v>
      </c>
      <c r="K226" s="18">
        <v>0</v>
      </c>
      <c r="L226" s="19">
        <f t="shared" si="2"/>
        <v>283305.88999999996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>
        <v>0</v>
      </c>
      <c r="H227" s="18">
        <v>47696.639999999999</v>
      </c>
      <c r="I227" s="18">
        <v>0</v>
      </c>
      <c r="J227" s="18">
        <v>0</v>
      </c>
      <c r="K227" s="18">
        <v>0</v>
      </c>
      <c r="L227" s="19">
        <f>SUM(F227:K227)</f>
        <v>47696.639999999999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2851221.7</v>
      </c>
      <c r="G229" s="41">
        <f>SUM(G215:G228)</f>
        <v>1635467.0500000003</v>
      </c>
      <c r="H229" s="41">
        <f>SUM(H215:H228)</f>
        <v>1153742.5599999998</v>
      </c>
      <c r="I229" s="41">
        <f>SUM(I215:I228)</f>
        <v>177477.23</v>
      </c>
      <c r="J229" s="41">
        <f>SUM(J215:J228)</f>
        <v>17831.589999999997</v>
      </c>
      <c r="K229" s="41">
        <f t="shared" si="3"/>
        <v>4654.62</v>
      </c>
      <c r="L229" s="41">
        <f t="shared" si="3"/>
        <v>5840394.75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1378879.88+23705.14-0.01</f>
        <v>1402585.0099999998</v>
      </c>
      <c r="G233" s="18">
        <f>624774.07+103971.86</f>
        <v>728745.92999999993</v>
      </c>
      <c r="H233" s="18">
        <v>85492.33</v>
      </c>
      <c r="I233" s="18">
        <v>31826.18</v>
      </c>
      <c r="J233" s="18">
        <v>0</v>
      </c>
      <c r="K233" s="18">
        <v>0</v>
      </c>
      <c r="L233" s="19">
        <f>SUM(F233:K233)</f>
        <v>2248649.4499999997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755715.43</v>
      </c>
      <c r="G234" s="18">
        <v>466533.39</v>
      </c>
      <c r="H234" s="18">
        <v>759717.67</v>
      </c>
      <c r="I234" s="18">
        <v>2709.93</v>
      </c>
      <c r="J234" s="18">
        <v>0</v>
      </c>
      <c r="K234" s="18">
        <v>0</v>
      </c>
      <c r="L234" s="19">
        <f>SUM(F234:K234)</f>
        <v>1984676.4200000002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495849.65</v>
      </c>
      <c r="G235" s="18">
        <v>294461.7</v>
      </c>
      <c r="H235" s="18">
        <v>31464.3</v>
      </c>
      <c r="I235" s="18">
        <v>38341.449999999997</v>
      </c>
      <c r="J235" s="18">
        <v>1437.98</v>
      </c>
      <c r="K235" s="18">
        <v>0</v>
      </c>
      <c r="L235" s="19">
        <f>SUM(F235:K235)</f>
        <v>861555.08000000007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88677</v>
      </c>
      <c r="G236" s="18">
        <v>15291.27</v>
      </c>
      <c r="H236" s="18">
        <v>8890</v>
      </c>
      <c r="I236" s="18">
        <v>970.84</v>
      </c>
      <c r="J236" s="18">
        <v>2123.5700000000002</v>
      </c>
      <c r="K236" s="18">
        <v>4710</v>
      </c>
      <c r="L236" s="19">
        <f>SUM(F236:K236)</f>
        <v>120662.68000000001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237715.21</v>
      </c>
      <c r="G238" s="18">
        <v>142407.21</v>
      </c>
      <c r="H238" s="18">
        <v>104149.65</v>
      </c>
      <c r="I238" s="18">
        <v>1672.24</v>
      </c>
      <c r="J238" s="18">
        <v>0</v>
      </c>
      <c r="K238" s="18">
        <v>3441.88</v>
      </c>
      <c r="L238" s="19">
        <f t="shared" ref="L238:L244" si="4">SUM(F238:K238)</f>
        <v>489386.18999999994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92689.1</v>
      </c>
      <c r="G239" s="18">
        <v>60444.14</v>
      </c>
      <c r="H239" s="18">
        <v>16762.29</v>
      </c>
      <c r="I239" s="18">
        <v>12720.59</v>
      </c>
      <c r="J239" s="18">
        <v>1292.3599999999999</v>
      </c>
      <c r="K239" s="18">
        <v>0</v>
      </c>
      <c r="L239" s="19">
        <f t="shared" si="4"/>
        <v>183908.47999999998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952.66</v>
      </c>
      <c r="G240" s="18">
        <v>178.17</v>
      </c>
      <c r="H240" s="18">
        <v>240781.66</v>
      </c>
      <c r="I240" s="18">
        <v>1945.38</v>
      </c>
      <c r="J240" s="18">
        <v>0</v>
      </c>
      <c r="K240" s="18">
        <v>1441.6</v>
      </c>
      <c r="L240" s="19">
        <f t="shared" si="4"/>
        <v>245299.47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397935.81</v>
      </c>
      <c r="G241" s="18">
        <v>193326.12</v>
      </c>
      <c r="H241" s="18">
        <v>4328.4799999999996</v>
      </c>
      <c r="I241" s="18">
        <v>22981.14</v>
      </c>
      <c r="J241" s="18">
        <v>0</v>
      </c>
      <c r="K241" s="18">
        <v>5070</v>
      </c>
      <c r="L241" s="19">
        <f t="shared" si="4"/>
        <v>623641.54999999993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252925.6</v>
      </c>
      <c r="G243" s="18">
        <v>115207.24</v>
      </c>
      <c r="H243" s="18">
        <v>206333.33</v>
      </c>
      <c r="I243" s="18">
        <v>339665.22</v>
      </c>
      <c r="J243" s="18">
        <v>0</v>
      </c>
      <c r="K243" s="18">
        <v>0</v>
      </c>
      <c r="L243" s="19">
        <f t="shared" si="4"/>
        <v>914131.39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v>412232.57</v>
      </c>
      <c r="I244" s="18">
        <v>1258.3599999999999</v>
      </c>
      <c r="J244" s="18">
        <v>0</v>
      </c>
      <c r="K244" s="18">
        <v>0</v>
      </c>
      <c r="L244" s="19">
        <f t="shared" si="4"/>
        <v>413490.93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0</v>
      </c>
      <c r="G245" s="18">
        <v>0</v>
      </c>
      <c r="H245" s="18">
        <v>59518.879999999997</v>
      </c>
      <c r="I245" s="18">
        <v>0</v>
      </c>
      <c r="J245" s="18">
        <v>0</v>
      </c>
      <c r="K245" s="18">
        <v>0</v>
      </c>
      <c r="L245" s="19">
        <f>SUM(F245:K245)</f>
        <v>59518.879999999997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3725045.47</v>
      </c>
      <c r="G247" s="41">
        <f t="shared" si="5"/>
        <v>2016595.1699999997</v>
      </c>
      <c r="H247" s="41">
        <f t="shared" si="5"/>
        <v>1929671.1600000001</v>
      </c>
      <c r="I247" s="41">
        <f t="shared" si="5"/>
        <v>454091.32999999996</v>
      </c>
      <c r="J247" s="41">
        <f t="shared" si="5"/>
        <v>4853.91</v>
      </c>
      <c r="K247" s="41">
        <f t="shared" si="5"/>
        <v>14663.48</v>
      </c>
      <c r="L247" s="41">
        <f t="shared" si="5"/>
        <v>8144920.5199999996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11331301.35</v>
      </c>
      <c r="G257" s="41">
        <f t="shared" si="8"/>
        <v>6464094.7100000009</v>
      </c>
      <c r="H257" s="41">
        <f t="shared" si="8"/>
        <v>5226110.05</v>
      </c>
      <c r="I257" s="41">
        <f t="shared" si="8"/>
        <v>959488.35</v>
      </c>
      <c r="J257" s="41">
        <f t="shared" si="8"/>
        <v>23722.149999999998</v>
      </c>
      <c r="K257" s="41">
        <f t="shared" si="8"/>
        <v>28117.31</v>
      </c>
      <c r="L257" s="41">
        <f t="shared" si="8"/>
        <v>24032833.920000002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520147</v>
      </c>
      <c r="L260" s="19">
        <f>SUM(F260:K260)</f>
        <v>520147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1355286</v>
      </c>
      <c r="L261" s="19">
        <f>SUM(F261:K261)</f>
        <v>1355286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3012.95</v>
      </c>
      <c r="L263" s="19">
        <f>SUM(F263:K263)</f>
        <v>3012.95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0</v>
      </c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0</v>
      </c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>
        <v>0</v>
      </c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1878445.95</v>
      </c>
      <c r="L270" s="41">
        <f t="shared" si="9"/>
        <v>1878445.95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11331301.35</v>
      </c>
      <c r="G271" s="42">
        <f t="shared" si="11"/>
        <v>6464094.7100000009</v>
      </c>
      <c r="H271" s="42">
        <f t="shared" si="11"/>
        <v>5226110.05</v>
      </c>
      <c r="I271" s="42">
        <f t="shared" si="11"/>
        <v>959488.35</v>
      </c>
      <c r="J271" s="42">
        <f t="shared" si="11"/>
        <v>23722.149999999998</v>
      </c>
      <c r="K271" s="42">
        <f t="shared" si="11"/>
        <v>1906563.26</v>
      </c>
      <c r="L271" s="42">
        <f t="shared" si="11"/>
        <v>25911279.870000001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270838.71568688506</v>
      </c>
      <c r="G276" s="18">
        <v>127952.39924025406</v>
      </c>
      <c r="H276" s="18">
        <v>1945.2044354838708</v>
      </c>
      <c r="I276" s="18">
        <v>23392.540709615139</v>
      </c>
      <c r="J276" s="18">
        <v>63280</v>
      </c>
      <c r="K276" s="18">
        <v>0</v>
      </c>
      <c r="L276" s="19">
        <f>SUM(F276:K276)</f>
        <v>487408.86007223814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29773.982142857145</v>
      </c>
      <c r="G277" s="18">
        <v>10486.62393822394</v>
      </c>
      <c r="H277" s="18">
        <v>1033.7837837837837</v>
      </c>
      <c r="I277" s="18">
        <v>0</v>
      </c>
      <c r="J277" s="18">
        <v>1654.6694015444016</v>
      </c>
      <c r="K277" s="18">
        <v>0</v>
      </c>
      <c r="L277" s="19">
        <f>SUM(F277:K277)</f>
        <v>42949.059266409276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112966.76854838709</v>
      </c>
      <c r="G279" s="18">
        <v>4056.5290322580645</v>
      </c>
      <c r="H279" s="18">
        <v>0</v>
      </c>
      <c r="I279" s="18">
        <v>73900.967338709655</v>
      </c>
      <c r="J279" s="18">
        <v>0</v>
      </c>
      <c r="K279" s="18">
        <v>0</v>
      </c>
      <c r="L279" s="19">
        <f>SUM(F279:K279)</f>
        <v>190924.26491935481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52139.091891891891</v>
      </c>
      <c r="G281" s="18">
        <v>13300.686776061777</v>
      </c>
      <c r="H281" s="18">
        <v>67575.862683397689</v>
      </c>
      <c r="I281" s="18">
        <v>1055.76</v>
      </c>
      <c r="J281" s="18">
        <v>0</v>
      </c>
      <c r="K281" s="18">
        <v>0</v>
      </c>
      <c r="L281" s="19">
        <f t="shared" ref="L281:L287" si="12">SUM(F281:K281)</f>
        <v>134071.40135135135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34198.980881803465</v>
      </c>
      <c r="G282" s="18">
        <v>4391.984750591605</v>
      </c>
      <c r="H282" s="18">
        <v>139874.62954975714</v>
      </c>
      <c r="I282" s="18">
        <v>258.44594594594594</v>
      </c>
      <c r="J282" s="18">
        <v>0</v>
      </c>
      <c r="K282" s="18">
        <v>0</v>
      </c>
      <c r="L282" s="19">
        <f t="shared" si="12"/>
        <v>178724.04112809815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28515.78359073359</v>
      </c>
      <c r="G283" s="18">
        <v>6582.4902509652511</v>
      </c>
      <c r="H283" s="18">
        <v>15347.558976833978</v>
      </c>
      <c r="I283" s="18">
        <v>5303.6947876447884</v>
      </c>
      <c r="J283" s="18">
        <v>0</v>
      </c>
      <c r="K283" s="18">
        <v>209.21814671814673</v>
      </c>
      <c r="L283" s="19">
        <f t="shared" si="12"/>
        <v>55958.745752895753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33045.594719143104</v>
      </c>
      <c r="G285" s="18">
        <v>2527.7455940964005</v>
      </c>
      <c r="H285" s="18">
        <v>2238.3927419354836</v>
      </c>
      <c r="I285" s="18">
        <v>14.792741935483869</v>
      </c>
      <c r="J285" s="18">
        <v>259.11290322580641</v>
      </c>
      <c r="K285" s="18">
        <v>36032.61250031137</v>
      </c>
      <c r="L285" s="19">
        <f t="shared" si="12"/>
        <v>74118.251200647646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14025.269853032753</v>
      </c>
      <c r="I287" s="18">
        <v>0</v>
      </c>
      <c r="J287" s="18">
        <v>0</v>
      </c>
      <c r="K287" s="18">
        <v>0</v>
      </c>
      <c r="L287" s="19">
        <f t="shared" si="12"/>
        <v>14025.269853032753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561478.91746170132</v>
      </c>
      <c r="G290" s="42">
        <f t="shared" si="13"/>
        <v>169298.45958245109</v>
      </c>
      <c r="H290" s="42">
        <f t="shared" si="13"/>
        <v>242040.70202422468</v>
      </c>
      <c r="I290" s="42">
        <f t="shared" si="13"/>
        <v>103926.20152385101</v>
      </c>
      <c r="J290" s="42">
        <f t="shared" si="13"/>
        <v>65193.782304770204</v>
      </c>
      <c r="K290" s="42">
        <f t="shared" si="13"/>
        <v>36241.830647029514</v>
      </c>
      <c r="L290" s="41">
        <f t="shared" si="13"/>
        <v>1178179.8935440278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129329.67543280608</v>
      </c>
      <c r="G295" s="18">
        <v>59813.211416116574</v>
      </c>
      <c r="H295" s="18">
        <v>892.50556451612908</v>
      </c>
      <c r="I295" s="18">
        <v>7091.8707961763603</v>
      </c>
      <c r="J295" s="18">
        <v>0</v>
      </c>
      <c r="K295" s="18">
        <v>0</v>
      </c>
      <c r="L295" s="19">
        <f>SUM(F295:K295)</f>
        <v>197127.26320961514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13661.003571428571</v>
      </c>
      <c r="G296" s="18">
        <v>4811.5098069498072</v>
      </c>
      <c r="H296" s="18">
        <v>474.32432432432432</v>
      </c>
      <c r="I296" s="18">
        <v>0</v>
      </c>
      <c r="J296" s="18">
        <v>759.20125482625485</v>
      </c>
      <c r="K296" s="18">
        <v>0</v>
      </c>
      <c r="L296" s="19">
        <f>SUM(F296:K296)</f>
        <v>19706.038957528956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51831.811451612899</v>
      </c>
      <c r="G298" s="18">
        <v>38166.340967741933</v>
      </c>
      <c r="H298" s="18">
        <v>0</v>
      </c>
      <c r="I298" s="18">
        <v>33907.502661290317</v>
      </c>
      <c r="J298" s="18">
        <v>0</v>
      </c>
      <c r="K298" s="18">
        <v>0</v>
      </c>
      <c r="L298" s="19">
        <f>SUM(F298:K298)</f>
        <v>123905.65508064514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23922.642162162159</v>
      </c>
      <c r="G300" s="18">
        <v>6102.6680501930505</v>
      </c>
      <c r="H300" s="18">
        <v>25501.972760617758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55527.282972972971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15691.29711047453</v>
      </c>
      <c r="G301" s="18">
        <v>2015.1459443890894</v>
      </c>
      <c r="H301" s="18">
        <v>40153.557322829743</v>
      </c>
      <c r="I301" s="18">
        <v>118.58108108108108</v>
      </c>
      <c r="J301" s="18">
        <v>0</v>
      </c>
      <c r="K301" s="18">
        <v>0</v>
      </c>
      <c r="L301" s="19">
        <f t="shared" si="14"/>
        <v>57978.581458774439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13083.71247104247</v>
      </c>
      <c r="G302" s="18">
        <v>3020.201409266409</v>
      </c>
      <c r="H302" s="18">
        <v>7041.8211776061771</v>
      </c>
      <c r="I302" s="18">
        <v>2433.4599613899613</v>
      </c>
      <c r="J302" s="18">
        <v>0</v>
      </c>
      <c r="K302" s="18">
        <v>95.994208494208493</v>
      </c>
      <c r="L302" s="19">
        <f t="shared" si="14"/>
        <v>25675.189227799227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15162.096400548013</v>
      </c>
      <c r="G304" s="18">
        <v>1159.7891549383485</v>
      </c>
      <c r="H304" s="18">
        <v>1027.0272580645162</v>
      </c>
      <c r="I304" s="18">
        <v>6.7872580645161289</v>
      </c>
      <c r="J304" s="18">
        <v>118.88709677419355</v>
      </c>
      <c r="K304" s="18">
        <v>14647.3199707311</v>
      </c>
      <c r="L304" s="19">
        <f t="shared" si="14"/>
        <v>32121.907139120689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6435.1238149209112</v>
      </c>
      <c r="I306" s="18">
        <v>0</v>
      </c>
      <c r="J306" s="18">
        <v>0</v>
      </c>
      <c r="K306" s="18">
        <v>0</v>
      </c>
      <c r="L306" s="19">
        <f t="shared" si="14"/>
        <v>6435.1238149209112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262682.23860007472</v>
      </c>
      <c r="G309" s="42">
        <f t="shared" si="15"/>
        <v>115088.86674959521</v>
      </c>
      <c r="H309" s="42">
        <f t="shared" si="15"/>
        <v>81526.332222879559</v>
      </c>
      <c r="I309" s="42">
        <f t="shared" si="15"/>
        <v>43558.201758002229</v>
      </c>
      <c r="J309" s="42">
        <f t="shared" si="15"/>
        <v>878.08835160044839</v>
      </c>
      <c r="K309" s="42">
        <f t="shared" si="15"/>
        <v>14743.314179225308</v>
      </c>
      <c r="L309" s="41">
        <f t="shared" si="15"/>
        <v>518477.04186137748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6371.20888030888</v>
      </c>
      <c r="G314" s="18">
        <v>1087.5393436293436</v>
      </c>
      <c r="H314" s="18">
        <v>0</v>
      </c>
      <c r="I314" s="18">
        <v>1380.7484942084939</v>
      </c>
      <c r="J314" s="18">
        <v>0</v>
      </c>
      <c r="K314" s="18">
        <v>0</v>
      </c>
      <c r="L314" s="19">
        <f>SUM(F314:K314)</f>
        <v>8839.4967181467182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17047.064285714285</v>
      </c>
      <c r="G315" s="18">
        <v>6004.1062548262553</v>
      </c>
      <c r="H315" s="18">
        <v>591.89189189189187</v>
      </c>
      <c r="I315" s="18">
        <v>0</v>
      </c>
      <c r="J315" s="18">
        <v>947.37934362934357</v>
      </c>
      <c r="K315" s="18">
        <v>0</v>
      </c>
      <c r="L315" s="19">
        <f>SUM(F315:K315)</f>
        <v>24590.44177606178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4961</v>
      </c>
      <c r="G316" s="18">
        <v>1240.77</v>
      </c>
      <c r="H316" s="18">
        <v>11777.92</v>
      </c>
      <c r="I316" s="18">
        <v>13538.58</v>
      </c>
      <c r="J316" s="18">
        <v>57092.44</v>
      </c>
      <c r="K316" s="18">
        <v>4168.87</v>
      </c>
      <c r="L316" s="19">
        <f>SUM(F316:K316)</f>
        <v>92779.58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68669.185945945937</v>
      </c>
      <c r="G319" s="18">
        <v>9387.1951737451745</v>
      </c>
      <c r="H319" s="18">
        <v>31822.974555984554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109879.35567567567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15871.722007722008</v>
      </c>
      <c r="G320" s="18">
        <v>1669.769305019305</v>
      </c>
      <c r="H320" s="18">
        <v>15210.283127413129</v>
      </c>
      <c r="I320" s="18">
        <v>147.97297297297297</v>
      </c>
      <c r="J320" s="18">
        <v>0</v>
      </c>
      <c r="K320" s="18">
        <v>3258.62</v>
      </c>
      <c r="L320" s="19">
        <f t="shared" si="16"/>
        <v>36158.367413127417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16326.683938223938</v>
      </c>
      <c r="G321" s="18">
        <v>3768.7983397683397</v>
      </c>
      <c r="H321" s="18">
        <v>8787.2298455598448</v>
      </c>
      <c r="I321" s="18">
        <v>3036.6252509652509</v>
      </c>
      <c r="J321" s="18">
        <v>0</v>
      </c>
      <c r="K321" s="18">
        <v>119.78764478764478</v>
      </c>
      <c r="L321" s="19">
        <f t="shared" si="16"/>
        <v>32039.125019305015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1969.3088803088804</v>
      </c>
      <c r="G323" s="18">
        <v>150.93525096525096</v>
      </c>
      <c r="H323" s="18">
        <v>725.67</v>
      </c>
      <c r="I323" s="18">
        <v>0</v>
      </c>
      <c r="J323" s="18">
        <v>0</v>
      </c>
      <c r="K323" s="18">
        <v>9280.7375289575284</v>
      </c>
      <c r="L323" s="19">
        <f t="shared" si="16"/>
        <v>12126.651660231659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295.39633204633202</v>
      </c>
      <c r="I325" s="18">
        <v>0</v>
      </c>
      <c r="J325" s="18">
        <v>0</v>
      </c>
      <c r="K325" s="18">
        <v>0</v>
      </c>
      <c r="L325" s="19">
        <f t="shared" si="16"/>
        <v>295.39633204633202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131216.17393822395</v>
      </c>
      <c r="G328" s="42">
        <f t="shared" si="17"/>
        <v>23309.113667953668</v>
      </c>
      <c r="H328" s="42">
        <f t="shared" si="17"/>
        <v>69211.365752895756</v>
      </c>
      <c r="I328" s="42">
        <f t="shared" si="17"/>
        <v>18103.926718146718</v>
      </c>
      <c r="J328" s="42">
        <f t="shared" si="17"/>
        <v>58039.819343629344</v>
      </c>
      <c r="K328" s="42">
        <f t="shared" si="17"/>
        <v>16828.015173745174</v>
      </c>
      <c r="L328" s="41">
        <f t="shared" si="17"/>
        <v>316708.41459459456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0</v>
      </c>
      <c r="G332" s="18">
        <v>0</v>
      </c>
      <c r="H332" s="18">
        <v>17943.27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17943.27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17943.27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17943.27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955377.33</v>
      </c>
      <c r="G338" s="41">
        <f t="shared" si="20"/>
        <v>307696.43999999994</v>
      </c>
      <c r="H338" s="41">
        <f t="shared" si="20"/>
        <v>410721.67000000004</v>
      </c>
      <c r="I338" s="41">
        <f t="shared" si="20"/>
        <v>165588.32999999996</v>
      </c>
      <c r="J338" s="41">
        <f t="shared" si="20"/>
        <v>124111.69</v>
      </c>
      <c r="K338" s="41">
        <f t="shared" si="20"/>
        <v>67813.16</v>
      </c>
      <c r="L338" s="41">
        <f t="shared" si="20"/>
        <v>2031308.6199999999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>
        <v>0</v>
      </c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>
        <v>0</v>
      </c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955377.33</v>
      </c>
      <c r="G352" s="41">
        <f>G338</f>
        <v>307696.43999999994</v>
      </c>
      <c r="H352" s="41">
        <f>H338</f>
        <v>410721.67000000004</v>
      </c>
      <c r="I352" s="41">
        <f>I338</f>
        <v>165588.32999999996</v>
      </c>
      <c r="J352" s="41">
        <f>J338</f>
        <v>124111.69</v>
      </c>
      <c r="K352" s="47">
        <f>K338+K351</f>
        <v>67813.16</v>
      </c>
      <c r="L352" s="41">
        <f>L338+L351</f>
        <v>2031308.6199999999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0</v>
      </c>
      <c r="G358" s="18">
        <v>0</v>
      </c>
      <c r="H358" s="18">
        <f>345688.93+507.81+8561.52</f>
        <v>354758.26</v>
      </c>
      <c r="I358" s="18">
        <f>84.35+50765.76</f>
        <v>50850.11</v>
      </c>
      <c r="J358" s="18">
        <v>239.25</v>
      </c>
      <c r="K358" s="18">
        <v>0</v>
      </c>
      <c r="L358" s="13">
        <f>SUM(F358:K358)</f>
        <v>405847.62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0</v>
      </c>
      <c r="G359" s="18">
        <v>0</v>
      </c>
      <c r="H359" s="18">
        <f>158610.21+232.99+3928.23</f>
        <v>162771.43</v>
      </c>
      <c r="I359" s="18">
        <f>38.7</f>
        <v>38.700000000000003</v>
      </c>
      <c r="J359" s="18">
        <v>109.77</v>
      </c>
      <c r="K359" s="18">
        <v>0</v>
      </c>
      <c r="L359" s="19">
        <f>SUM(F359:K359)</f>
        <v>162919.9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0</v>
      </c>
      <c r="G360" s="18">
        <v>0</v>
      </c>
      <c r="H360" s="18">
        <f>197923.86+290.75+4901.89</f>
        <v>203116.5</v>
      </c>
      <c r="I360" s="18">
        <f>48.29</f>
        <v>48.29</v>
      </c>
      <c r="J360" s="18">
        <v>136.97999999999999</v>
      </c>
      <c r="K360" s="18">
        <v>0</v>
      </c>
      <c r="L360" s="19">
        <f>SUM(F360:K360)</f>
        <v>203301.77000000002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>
        <v>0</v>
      </c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720646.19</v>
      </c>
      <c r="I362" s="47">
        <f t="shared" si="22"/>
        <v>50937.1</v>
      </c>
      <c r="J362" s="47">
        <f t="shared" si="22"/>
        <v>486</v>
      </c>
      <c r="K362" s="47">
        <f t="shared" si="22"/>
        <v>0</v>
      </c>
      <c r="L362" s="47">
        <f t="shared" si="22"/>
        <v>772069.29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0</v>
      </c>
      <c r="G367" s="18">
        <v>0</v>
      </c>
      <c r="H367" s="18">
        <v>0</v>
      </c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50850.11</v>
      </c>
      <c r="G368" s="63">
        <v>38.700000000000003</v>
      </c>
      <c r="H368" s="63">
        <v>48.29</v>
      </c>
      <c r="I368" s="56">
        <f>SUM(F368:H368)</f>
        <v>50937.1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50850.11</v>
      </c>
      <c r="G369" s="47">
        <f>SUM(G367:G368)</f>
        <v>38.700000000000003</v>
      </c>
      <c r="H369" s="47">
        <f>SUM(H367:H368)</f>
        <v>48.29</v>
      </c>
      <c r="I369" s="47">
        <f>SUM(I367:I368)</f>
        <v>50937.1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>
        <v>0</v>
      </c>
      <c r="G379" s="18">
        <v>0</v>
      </c>
      <c r="H379" s="18">
        <v>39627</v>
      </c>
      <c r="I379" s="18">
        <v>0</v>
      </c>
      <c r="J379" s="18">
        <v>0</v>
      </c>
      <c r="K379" s="18">
        <v>0</v>
      </c>
      <c r="L379" s="13">
        <f t="shared" si="23"/>
        <v>39627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39627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39627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>
        <v>0</v>
      </c>
      <c r="G387" s="18">
        <v>0</v>
      </c>
      <c r="H387" s="18">
        <v>0</v>
      </c>
      <c r="I387" s="18">
        <v>0</v>
      </c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>
        <v>0</v>
      </c>
      <c r="G400" s="18">
        <v>0</v>
      </c>
      <c r="H400" s="18">
        <v>0</v>
      </c>
      <c r="I400" s="18">
        <v>58850.02</v>
      </c>
      <c r="J400" s="24" t="s">
        <v>286</v>
      </c>
      <c r="K400" s="24" t="s">
        <v>286</v>
      </c>
      <c r="L400" s="56">
        <f t="shared" si="26"/>
        <v>58850.02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58850.02</v>
      </c>
      <c r="J401" s="45" t="s">
        <v>286</v>
      </c>
      <c r="K401" s="45" t="s">
        <v>286</v>
      </c>
      <c r="L401" s="47">
        <f>SUM(L395:L400)</f>
        <v>58850.02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58850.02</v>
      </c>
      <c r="J408" s="24" t="s">
        <v>286</v>
      </c>
      <c r="K408" s="24" t="s">
        <v>286</v>
      </c>
      <c r="L408" s="47">
        <f>L393+L401+L407</f>
        <v>58850.02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>
        <v>0</v>
      </c>
      <c r="G426" s="18">
        <v>0</v>
      </c>
      <c r="H426" s="18">
        <v>22747.9</v>
      </c>
      <c r="I426" s="18">
        <v>37756.21</v>
      </c>
      <c r="J426" s="18">
        <v>584.33000000000004</v>
      </c>
      <c r="K426" s="18">
        <v>75000</v>
      </c>
      <c r="L426" s="56">
        <f t="shared" si="29"/>
        <v>136088.44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22747.9</v>
      </c>
      <c r="I427" s="47">
        <f t="shared" si="30"/>
        <v>37756.21</v>
      </c>
      <c r="J427" s="47">
        <f t="shared" si="30"/>
        <v>584.33000000000004</v>
      </c>
      <c r="K427" s="47">
        <f t="shared" si="30"/>
        <v>75000</v>
      </c>
      <c r="L427" s="47">
        <f t="shared" si="30"/>
        <v>136088.44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22747.9</v>
      </c>
      <c r="I434" s="47">
        <f t="shared" si="32"/>
        <v>37756.21</v>
      </c>
      <c r="J434" s="47">
        <f t="shared" si="32"/>
        <v>584.33000000000004</v>
      </c>
      <c r="K434" s="47">
        <f t="shared" si="32"/>
        <v>75000</v>
      </c>
      <c r="L434" s="47">
        <f t="shared" si="32"/>
        <v>136088.44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0</v>
      </c>
      <c r="G442" s="18">
        <v>0</v>
      </c>
      <c r="H442" s="18">
        <v>59539.29</v>
      </c>
      <c r="I442" s="56">
        <f t="shared" si="33"/>
        <v>59539.29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0</v>
      </c>
      <c r="H446" s="13">
        <f>SUM(H439:H445)</f>
        <v>59539.29</v>
      </c>
      <c r="I446" s="13">
        <f>SUM(I439:I445)</f>
        <v>59539.29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>
        <v>0</v>
      </c>
      <c r="G449" s="18">
        <v>0</v>
      </c>
      <c r="H449" s="18">
        <v>488.88</v>
      </c>
      <c r="I449" s="56">
        <f>SUM(F449:H449)</f>
        <v>488.88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488.88</v>
      </c>
      <c r="I452" s="72">
        <f>SUM(I448:I451)</f>
        <v>488.88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0</v>
      </c>
      <c r="G459" s="18">
        <v>0</v>
      </c>
      <c r="H459" s="18">
        <v>59050.41</v>
      </c>
      <c r="I459" s="56">
        <f t="shared" si="34"/>
        <v>59050.41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0</v>
      </c>
      <c r="H460" s="83">
        <f>SUM(H454:H459)</f>
        <v>59050.41</v>
      </c>
      <c r="I460" s="83">
        <f>SUM(I454:I459)</f>
        <v>59050.41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0</v>
      </c>
      <c r="H461" s="42">
        <f>H452+H460</f>
        <v>59539.29</v>
      </c>
      <c r="I461" s="42">
        <f>I452+I460</f>
        <v>59539.29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0</v>
      </c>
      <c r="G465" s="18">
        <v>116802.26</v>
      </c>
      <c r="H465" s="18">
        <v>96893.08</v>
      </c>
      <c r="I465" s="18">
        <v>0</v>
      </c>
      <c r="J465" s="18">
        <v>136288.82999999999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25911279.870000001</v>
      </c>
      <c r="G468" s="18">
        <v>759396.55</v>
      </c>
      <c r="H468" s="18">
        <v>2049634.25</v>
      </c>
      <c r="I468" s="18">
        <v>75000</v>
      </c>
      <c r="J468" s="18">
        <v>58850.02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25911279.870000001</v>
      </c>
      <c r="G470" s="53">
        <f>SUM(G468:G469)</f>
        <v>759396.55</v>
      </c>
      <c r="H470" s="53">
        <f>SUM(H468:H469)</f>
        <v>2049634.25</v>
      </c>
      <c r="I470" s="53">
        <f>SUM(I468:I469)</f>
        <v>75000</v>
      </c>
      <c r="J470" s="53">
        <f>SUM(J468:J469)</f>
        <v>58850.02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25911279.870000001</v>
      </c>
      <c r="G472" s="18">
        <v>772069.29</v>
      </c>
      <c r="H472" s="18">
        <v>2031308.62</v>
      </c>
      <c r="I472" s="18">
        <v>39627</v>
      </c>
      <c r="J472" s="18">
        <v>136088.44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25911279.870000001</v>
      </c>
      <c r="G474" s="53">
        <f>SUM(G472:G473)</f>
        <v>772069.29</v>
      </c>
      <c r="H474" s="53">
        <f>SUM(H472:H473)</f>
        <v>2031308.62</v>
      </c>
      <c r="I474" s="53">
        <f>SUM(I472:I473)</f>
        <v>39627</v>
      </c>
      <c r="J474" s="53">
        <f>SUM(J472:J473)</f>
        <v>136088.44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0</v>
      </c>
      <c r="G476" s="53">
        <f>(G465+G470)- G474</f>
        <v>104129.52000000002</v>
      </c>
      <c r="H476" s="53">
        <f>(H465+H470)- H474</f>
        <v>115218.70999999996</v>
      </c>
      <c r="I476" s="53">
        <f>(I465+I470)- I474</f>
        <v>35373</v>
      </c>
      <c r="J476" s="53">
        <f>(J465+J470)- J474</f>
        <v>59050.409999999974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</v>
      </c>
      <c r="G490" s="154">
        <v>2</v>
      </c>
      <c r="H490" s="154">
        <v>3</v>
      </c>
      <c r="I490" s="154">
        <v>15</v>
      </c>
      <c r="J490" s="154">
        <v>0</v>
      </c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 t="s">
        <v>913</v>
      </c>
      <c r="H491" s="155" t="s">
        <v>914</v>
      </c>
      <c r="I491" s="155" t="s">
        <v>917</v>
      </c>
      <c r="J491" s="154">
        <v>0</v>
      </c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912</v>
      </c>
      <c r="G492" s="155" t="s">
        <v>915</v>
      </c>
      <c r="H492" s="155" t="s">
        <v>916</v>
      </c>
      <c r="I492" s="155" t="s">
        <v>918</v>
      </c>
      <c r="J492" s="154">
        <v>0</v>
      </c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310000</v>
      </c>
      <c r="G493" s="18">
        <v>18953000</v>
      </c>
      <c r="H493" s="18">
        <f>617700+459000+105000</f>
        <v>1181700</v>
      </c>
      <c r="I493" s="18">
        <v>1453925</v>
      </c>
      <c r="J493" s="18">
        <v>0</v>
      </c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5.2</v>
      </c>
      <c r="G494" s="18">
        <v>3.73</v>
      </c>
      <c r="H494" s="18">
        <v>3.1429999999999998</v>
      </c>
      <c r="I494" s="18">
        <v>2.16</v>
      </c>
      <c r="J494" s="18">
        <v>0</v>
      </c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45000</v>
      </c>
      <c r="G495" s="18">
        <v>11522434</v>
      </c>
      <c r="H495" s="18">
        <v>929300</v>
      </c>
      <c r="I495" s="18">
        <v>1355000</v>
      </c>
      <c r="J495" s="18">
        <v>0</v>
      </c>
      <c r="K495" s="53">
        <f>SUM(F495:J495)</f>
        <v>13851734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15000</v>
      </c>
      <c r="G497" s="18">
        <v>988866</v>
      </c>
      <c r="H497" s="18">
        <f>41250+30600+10000</f>
        <v>81850</v>
      </c>
      <c r="I497" s="18">
        <v>100000</v>
      </c>
      <c r="J497" s="18">
        <v>0</v>
      </c>
      <c r="K497" s="53">
        <f t="shared" si="35"/>
        <v>1185716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30000</v>
      </c>
      <c r="G498" s="204">
        <f>10402447-1029511-988866</f>
        <v>8384070</v>
      </c>
      <c r="H498" s="204">
        <f>451500+397800+80000-41250-41250-30600-30600-20000</f>
        <v>765600</v>
      </c>
      <c r="I498" s="204">
        <f>1453925-198925</f>
        <v>1255000</v>
      </c>
      <c r="J498" s="204">
        <v>0</v>
      </c>
      <c r="K498" s="205">
        <f t="shared" si="35"/>
        <v>10434670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f>1181+394</f>
        <v>1575</v>
      </c>
      <c r="G499" s="18">
        <f>7838789-404501-409144</f>
        <v>7025144</v>
      </c>
      <c r="H499" s="18">
        <f>146140+110298+16320-23975-21665-17366-15805-3825-3315</f>
        <v>186807</v>
      </c>
      <c r="I499" s="18">
        <f>404263-58273-53280</f>
        <v>292710</v>
      </c>
      <c r="J499" s="18">
        <v>0</v>
      </c>
      <c r="K499" s="53">
        <f t="shared" si="35"/>
        <v>7506236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31575</v>
      </c>
      <c r="G500" s="42">
        <f>SUM(G498:G499)</f>
        <v>15409214</v>
      </c>
      <c r="H500" s="42">
        <f>SUM(H498:H499)</f>
        <v>952407</v>
      </c>
      <c r="I500" s="42">
        <f>SUM(I498:I499)</f>
        <v>1547710</v>
      </c>
      <c r="J500" s="42">
        <f>SUM(J498:J499)</f>
        <v>0</v>
      </c>
      <c r="K500" s="42">
        <f t="shared" si="35"/>
        <v>17940906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15000</v>
      </c>
      <c r="G501" s="204">
        <v>945130</v>
      </c>
      <c r="H501" s="204">
        <f>41250+30600+10000</f>
        <v>81850</v>
      </c>
      <c r="I501" s="204">
        <v>100000</v>
      </c>
      <c r="J501" s="204">
        <v>0</v>
      </c>
      <c r="K501" s="205">
        <f t="shared" si="35"/>
        <v>1141980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394</v>
      </c>
      <c r="G502" s="18">
        <v>453680</v>
      </c>
      <c r="H502" s="18">
        <f>19458+14244+2805</f>
        <v>36507</v>
      </c>
      <c r="I502" s="18">
        <v>48260</v>
      </c>
      <c r="J502" s="18">
        <v>0</v>
      </c>
      <c r="K502" s="53">
        <f t="shared" si="35"/>
        <v>538841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15394</v>
      </c>
      <c r="G503" s="42">
        <f>SUM(G501:G502)</f>
        <v>1398810</v>
      </c>
      <c r="H503" s="42">
        <f>SUM(H501:H502)</f>
        <v>118357</v>
      </c>
      <c r="I503" s="42">
        <f>SUM(I501:I502)</f>
        <v>148260</v>
      </c>
      <c r="J503" s="42">
        <f>SUM(J501:J502)</f>
        <v>0</v>
      </c>
      <c r="K503" s="42">
        <f t="shared" si="35"/>
        <v>1680821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>
        <v>0</v>
      </c>
      <c r="G511" s="24" t="s">
        <v>286</v>
      </c>
      <c r="H511" s="18">
        <v>0</v>
      </c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>
        <v>0</v>
      </c>
      <c r="G512" s="24" t="s">
        <v>286</v>
      </c>
      <c r="H512" s="18">
        <v>0</v>
      </c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>
        <v>0</v>
      </c>
      <c r="G513" s="24" t="s">
        <v>286</v>
      </c>
      <c r="H513" s="18">
        <v>0</v>
      </c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>
        <v>0</v>
      </c>
      <c r="G514" s="24" t="s">
        <v>286</v>
      </c>
      <c r="H514" s="18">
        <v>0</v>
      </c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>
        <v>0</v>
      </c>
      <c r="G515" s="24" t="s">
        <v>286</v>
      </c>
      <c r="H515" s="18">
        <v>0</v>
      </c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>
        <v>0</v>
      </c>
      <c r="H516" s="24" t="s">
        <v>286</v>
      </c>
      <c r="I516" s="18">
        <v>0</v>
      </c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1294444.7218339767</v>
      </c>
      <c r="G521" s="18">
        <v>557562.79266409262</v>
      </c>
      <c r="H521" s="18">
        <v>464335.10899613897</v>
      </c>
      <c r="I521" s="18">
        <v>4222.59</v>
      </c>
      <c r="J521" s="18">
        <v>1654.6694015444016</v>
      </c>
      <c r="K521" s="18">
        <v>0</v>
      </c>
      <c r="L521" s="88">
        <f>SUM(F521:K521)</f>
        <v>2322219.8828957528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732551.65260617761</v>
      </c>
      <c r="G522" s="18">
        <v>480139.5485328185</v>
      </c>
      <c r="H522" s="18">
        <v>386842.11436293437</v>
      </c>
      <c r="I522" s="18">
        <v>4154</v>
      </c>
      <c r="J522" s="18">
        <v>759.20125482625485</v>
      </c>
      <c r="K522" s="18">
        <v>0</v>
      </c>
      <c r="L522" s="88">
        <f>SUM(F522:K522)</f>
        <v>1604446.5167567567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755715.43127413117</v>
      </c>
      <c r="G523" s="18">
        <v>479857.84498069494</v>
      </c>
      <c r="H523" s="18">
        <v>760309.56664092652</v>
      </c>
      <c r="I523" s="18">
        <v>2709.9300000000003</v>
      </c>
      <c r="J523" s="18">
        <v>947.37934362934357</v>
      </c>
      <c r="K523" s="18">
        <v>0</v>
      </c>
      <c r="L523" s="88">
        <f>SUM(F523:K523)</f>
        <v>1999540.152239382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2782711.8057142855</v>
      </c>
      <c r="G524" s="108">
        <f t="shared" ref="G524:L524" si="36">SUM(G521:G523)</f>
        <v>1517560.1861776062</v>
      </c>
      <c r="H524" s="108">
        <f t="shared" si="36"/>
        <v>1611486.7899999998</v>
      </c>
      <c r="I524" s="108">
        <f t="shared" si="36"/>
        <v>11086.52</v>
      </c>
      <c r="J524" s="108">
        <f t="shared" si="36"/>
        <v>3361.25</v>
      </c>
      <c r="K524" s="108">
        <f t="shared" si="36"/>
        <v>0</v>
      </c>
      <c r="L524" s="89">
        <f t="shared" si="36"/>
        <v>5926206.5518918913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265007.09277369536</v>
      </c>
      <c r="G526" s="18">
        <v>100897.97152665337</v>
      </c>
      <c r="H526" s="18">
        <v>409089.14439531695</v>
      </c>
      <c r="I526" s="18">
        <v>1941.1859459459458</v>
      </c>
      <c r="J526" s="18">
        <v>0</v>
      </c>
      <c r="K526" s="18">
        <v>5447.3513513513517</v>
      </c>
      <c r="L526" s="88">
        <f>SUM(F526:K526)</f>
        <v>782382.74599296297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130507.40927263669</v>
      </c>
      <c r="G527" s="18">
        <v>72064.873994582143</v>
      </c>
      <c r="H527" s="18">
        <v>133853.59684020426</v>
      </c>
      <c r="I527" s="18">
        <v>184.33108108108109</v>
      </c>
      <c r="J527" s="18">
        <v>0</v>
      </c>
      <c r="K527" s="18">
        <v>2499</v>
      </c>
      <c r="L527" s="88">
        <f>SUM(F527:K527)</f>
        <v>339109.21118850418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39613.939272636693</v>
      </c>
      <c r="G528" s="18">
        <v>11056.964478764479</v>
      </c>
      <c r="H528" s="18">
        <v>132135.11876447877</v>
      </c>
      <c r="I528" s="18">
        <v>147.97297297297297</v>
      </c>
      <c r="J528" s="18">
        <v>0</v>
      </c>
      <c r="K528" s="18">
        <v>6377.4956756756756</v>
      </c>
      <c r="L528" s="88">
        <f>SUM(F528:K528)</f>
        <v>189331.49116452859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435128.44131896878</v>
      </c>
      <c r="G529" s="89">
        <f t="shared" ref="G529:L529" si="37">SUM(G526:G528)</f>
        <v>184019.81</v>
      </c>
      <c r="H529" s="89">
        <f t="shared" si="37"/>
        <v>675077.85999999987</v>
      </c>
      <c r="I529" s="89">
        <f t="shared" si="37"/>
        <v>2273.4899999999998</v>
      </c>
      <c r="J529" s="89">
        <f t="shared" si="37"/>
        <v>0</v>
      </c>
      <c r="K529" s="89">
        <f t="shared" si="37"/>
        <v>14323.847027027026</v>
      </c>
      <c r="L529" s="89">
        <f t="shared" si="37"/>
        <v>1310823.4483459957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9922+76105</f>
        <v>86027</v>
      </c>
      <c r="G531" s="18">
        <f>40838+3403</f>
        <v>44241</v>
      </c>
      <c r="H531" s="18">
        <v>0</v>
      </c>
      <c r="I531" s="18">
        <v>19.5</v>
      </c>
      <c r="J531" s="18">
        <v>0</v>
      </c>
      <c r="K531" s="18">
        <v>0</v>
      </c>
      <c r="L531" s="88">
        <f>SUM(F531:K531)</f>
        <v>130287.5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f>4469+34919</f>
        <v>39388</v>
      </c>
      <c r="G532" s="18">
        <f>18737+975</f>
        <v>19712</v>
      </c>
      <c r="H532" s="18">
        <v>0</v>
      </c>
      <c r="I532" s="18">
        <v>100</v>
      </c>
      <c r="J532" s="18">
        <v>0</v>
      </c>
      <c r="K532" s="18">
        <v>0</v>
      </c>
      <c r="L532" s="88">
        <f>SUM(F532:K532)</f>
        <v>59200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f>4535+43574</f>
        <v>48109</v>
      </c>
      <c r="G533" s="18">
        <f>23382+2428</f>
        <v>25810</v>
      </c>
      <c r="H533" s="18">
        <v>0</v>
      </c>
      <c r="I533" s="18">
        <v>50</v>
      </c>
      <c r="J533" s="18">
        <v>0</v>
      </c>
      <c r="K533" s="18">
        <v>0</v>
      </c>
      <c r="L533" s="88">
        <f>SUM(F533:K533)</f>
        <v>73969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173524</v>
      </c>
      <c r="G534" s="89">
        <f t="shared" ref="G534:L534" si="38">SUM(G531:G533)</f>
        <v>89763</v>
      </c>
      <c r="H534" s="89">
        <f t="shared" si="38"/>
        <v>0</v>
      </c>
      <c r="I534" s="89">
        <f t="shared" si="38"/>
        <v>169.5</v>
      </c>
      <c r="J534" s="89">
        <f t="shared" si="38"/>
        <v>0</v>
      </c>
      <c r="K534" s="89">
        <f t="shared" si="38"/>
        <v>0</v>
      </c>
      <c r="L534" s="89">
        <f t="shared" si="38"/>
        <v>263456.5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>
        <v>0</v>
      </c>
      <c r="G536" s="18">
        <v>0</v>
      </c>
      <c r="H536" s="18">
        <v>12116.16</v>
      </c>
      <c r="I536" s="18">
        <v>0</v>
      </c>
      <c r="J536" s="18">
        <v>0</v>
      </c>
      <c r="K536" s="18">
        <v>0</v>
      </c>
      <c r="L536" s="88">
        <f>SUM(F536:K536)</f>
        <v>12116.16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>
        <v>0</v>
      </c>
      <c r="G537" s="18">
        <v>0</v>
      </c>
      <c r="H537" s="18">
        <v>5559.18</v>
      </c>
      <c r="I537" s="18">
        <v>0</v>
      </c>
      <c r="J537" s="18">
        <v>0</v>
      </c>
      <c r="K537" s="18">
        <v>0</v>
      </c>
      <c r="L537" s="88">
        <f>SUM(F537:K537)</f>
        <v>5559.18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>
        <v>0</v>
      </c>
      <c r="G538" s="18">
        <v>0</v>
      </c>
      <c r="H538" s="18">
        <v>6937.1</v>
      </c>
      <c r="I538" s="18">
        <v>0</v>
      </c>
      <c r="J538" s="18">
        <v>0</v>
      </c>
      <c r="K538" s="18">
        <v>0</v>
      </c>
      <c r="L538" s="88">
        <f>SUM(F538:K538)</f>
        <v>6937.1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24612.440000000002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24612.440000000002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0</v>
      </c>
      <c r="G541" s="18">
        <v>0</v>
      </c>
      <c r="H541" s="18">
        <v>368954.05</v>
      </c>
      <c r="I541" s="18">
        <v>0</v>
      </c>
      <c r="J541" s="18">
        <v>0</v>
      </c>
      <c r="K541" s="18">
        <v>0</v>
      </c>
      <c r="L541" s="88">
        <f>SUM(F541:K541)</f>
        <v>368954.05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0</v>
      </c>
      <c r="G542" s="18">
        <v>0</v>
      </c>
      <c r="H542" s="18">
        <v>169284.8</v>
      </c>
      <c r="I542" s="18">
        <v>0</v>
      </c>
      <c r="J542" s="18">
        <v>0</v>
      </c>
      <c r="K542" s="18">
        <v>0</v>
      </c>
      <c r="L542" s="88">
        <f>SUM(F542:K542)</f>
        <v>169284.8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0</v>
      </c>
      <c r="G543" s="18">
        <v>0</v>
      </c>
      <c r="H543" s="18">
        <v>211244.28</v>
      </c>
      <c r="I543" s="18">
        <v>0</v>
      </c>
      <c r="J543" s="18">
        <v>0</v>
      </c>
      <c r="K543" s="18">
        <v>0</v>
      </c>
      <c r="L543" s="88">
        <f>SUM(F543:K543)</f>
        <v>211244.28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749483.13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749483.13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3391364.2470332542</v>
      </c>
      <c r="G545" s="89">
        <f t="shared" ref="G545:L545" si="41">G524+G529+G534+G539+G544</f>
        <v>1791342.9961776063</v>
      </c>
      <c r="H545" s="89">
        <f t="shared" si="41"/>
        <v>3060660.2199999993</v>
      </c>
      <c r="I545" s="89">
        <f t="shared" si="41"/>
        <v>13529.51</v>
      </c>
      <c r="J545" s="89">
        <f t="shared" si="41"/>
        <v>3361.25</v>
      </c>
      <c r="K545" s="89">
        <f t="shared" si="41"/>
        <v>14323.847027027026</v>
      </c>
      <c r="L545" s="89">
        <f t="shared" si="41"/>
        <v>8274582.0702378871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2322219.8828957528</v>
      </c>
      <c r="G549" s="87">
        <f>L526</f>
        <v>782382.74599296297</v>
      </c>
      <c r="H549" s="87">
        <f>L531</f>
        <v>130287.5</v>
      </c>
      <c r="I549" s="87">
        <f>L536</f>
        <v>12116.16</v>
      </c>
      <c r="J549" s="87">
        <f>L541</f>
        <v>368954.05</v>
      </c>
      <c r="K549" s="87">
        <f>SUM(F549:J549)</f>
        <v>3615960.338888716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1604446.5167567567</v>
      </c>
      <c r="G550" s="87">
        <f>L527</f>
        <v>339109.21118850418</v>
      </c>
      <c r="H550" s="87">
        <f>L532</f>
        <v>59200</v>
      </c>
      <c r="I550" s="87">
        <f>L537</f>
        <v>5559.18</v>
      </c>
      <c r="J550" s="87">
        <f>L542</f>
        <v>169284.8</v>
      </c>
      <c r="K550" s="87">
        <f>SUM(F550:J550)</f>
        <v>2177599.7079452607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1999540.152239382</v>
      </c>
      <c r="G551" s="87">
        <f>L528</f>
        <v>189331.49116452859</v>
      </c>
      <c r="H551" s="87">
        <f>L533</f>
        <v>73969</v>
      </c>
      <c r="I551" s="87">
        <f>L538</f>
        <v>6937.1</v>
      </c>
      <c r="J551" s="87">
        <f>L543</f>
        <v>211244.28</v>
      </c>
      <c r="K551" s="87">
        <f>SUM(F551:J551)</f>
        <v>2481022.0234039105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5926206.5518918913</v>
      </c>
      <c r="G552" s="89">
        <f t="shared" si="42"/>
        <v>1310823.4483459957</v>
      </c>
      <c r="H552" s="89">
        <f t="shared" si="42"/>
        <v>263456.5</v>
      </c>
      <c r="I552" s="89">
        <f t="shared" si="42"/>
        <v>24612.440000000002</v>
      </c>
      <c r="J552" s="89">
        <f t="shared" si="42"/>
        <v>749483.13</v>
      </c>
      <c r="K552" s="89">
        <f t="shared" si="42"/>
        <v>8274582.070237888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>
        <f>1160587+29773.98</f>
        <v>1190360.98</v>
      </c>
      <c r="G557" s="18">
        <f>716677+10486.62</f>
        <v>727163.62</v>
      </c>
      <c r="H557" s="18">
        <f>463301+1033.78</f>
        <v>464334.78</v>
      </c>
      <c r="I557" s="18">
        <v>4150</v>
      </c>
      <c r="J557" s="18">
        <v>1654.67</v>
      </c>
      <c r="K557" s="18">
        <v>0</v>
      </c>
      <c r="L557" s="88">
        <f>SUM(F557:K557)</f>
        <v>2387664.0499999998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>
        <f>710101+13661-0.98</f>
        <v>723761.02</v>
      </c>
      <c r="G558" s="18">
        <f>473854+4811.51</f>
        <v>478665.51</v>
      </c>
      <c r="H558" s="18">
        <f>386368+474.32</f>
        <v>386842.32</v>
      </c>
      <c r="I558" s="18">
        <v>4154</v>
      </c>
      <c r="J558" s="18">
        <v>759.2</v>
      </c>
      <c r="K558" s="18">
        <v>0</v>
      </c>
      <c r="L558" s="88">
        <f>SUM(F558:K558)</f>
        <v>1594182.05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>
        <f>755715+17047.06</f>
        <v>772762.06</v>
      </c>
      <c r="G559" s="18">
        <f>466533+6004.11</f>
        <v>472537.11</v>
      </c>
      <c r="H559" s="18">
        <f>759718+591.89</f>
        <v>760309.89</v>
      </c>
      <c r="I559" s="18">
        <v>2710</v>
      </c>
      <c r="J559" s="18">
        <v>947.38</v>
      </c>
      <c r="K559" s="18">
        <v>0</v>
      </c>
      <c r="L559" s="88">
        <f>SUM(F559:K559)</f>
        <v>2009266.44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2686884.06</v>
      </c>
      <c r="G560" s="108">
        <f t="shared" si="43"/>
        <v>1678366.2399999998</v>
      </c>
      <c r="H560" s="108">
        <f t="shared" si="43"/>
        <v>1611486.9900000002</v>
      </c>
      <c r="I560" s="108">
        <f t="shared" si="43"/>
        <v>11014</v>
      </c>
      <c r="J560" s="108">
        <f t="shared" si="43"/>
        <v>3361.25</v>
      </c>
      <c r="K560" s="108">
        <f t="shared" si="43"/>
        <v>0</v>
      </c>
      <c r="L560" s="89">
        <f t="shared" si="43"/>
        <v>5991112.5399999991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104084</v>
      </c>
      <c r="G562" s="18">
        <v>73222</v>
      </c>
      <c r="H562" s="18">
        <v>0</v>
      </c>
      <c r="I562" s="18">
        <v>73</v>
      </c>
      <c r="J562" s="18">
        <v>0</v>
      </c>
      <c r="K562" s="18">
        <v>0</v>
      </c>
      <c r="L562" s="88">
        <f>SUM(F562:K562)</f>
        <v>177379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8790</v>
      </c>
      <c r="G563" s="18">
        <v>1474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10264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112874</v>
      </c>
      <c r="G565" s="89">
        <f t="shared" si="44"/>
        <v>74696</v>
      </c>
      <c r="H565" s="89">
        <f t="shared" si="44"/>
        <v>0</v>
      </c>
      <c r="I565" s="89">
        <f t="shared" si="44"/>
        <v>73</v>
      </c>
      <c r="J565" s="89">
        <f t="shared" si="44"/>
        <v>0</v>
      </c>
      <c r="K565" s="89">
        <f t="shared" si="44"/>
        <v>0</v>
      </c>
      <c r="L565" s="89">
        <f t="shared" si="44"/>
        <v>187643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0</v>
      </c>
      <c r="G567" s="18">
        <v>0</v>
      </c>
      <c r="H567" s="18">
        <v>783</v>
      </c>
      <c r="I567" s="18">
        <v>0</v>
      </c>
      <c r="J567" s="18">
        <v>0</v>
      </c>
      <c r="K567" s="18">
        <v>0</v>
      </c>
      <c r="L567" s="88">
        <f>SUM(F567:K567)</f>
        <v>783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0</v>
      </c>
      <c r="G568" s="18">
        <v>0</v>
      </c>
      <c r="H568" s="18">
        <v>0</v>
      </c>
      <c r="I568" s="18">
        <v>4750</v>
      </c>
      <c r="J568" s="18">
        <v>0</v>
      </c>
      <c r="K568" s="18">
        <v>0</v>
      </c>
      <c r="L568" s="88">
        <f>SUM(F568:K568)</f>
        <v>4750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783</v>
      </c>
      <c r="I570" s="193">
        <f t="shared" si="45"/>
        <v>4750</v>
      </c>
      <c r="J570" s="193">
        <f t="shared" si="45"/>
        <v>0</v>
      </c>
      <c r="K570" s="193">
        <f t="shared" si="45"/>
        <v>0</v>
      </c>
      <c r="L570" s="193">
        <f t="shared" si="45"/>
        <v>5533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2799758.06</v>
      </c>
      <c r="G571" s="89">
        <f t="shared" ref="G571:L571" si="46">G560+G565+G570</f>
        <v>1753062.2399999998</v>
      </c>
      <c r="H571" s="89">
        <f t="shared" si="46"/>
        <v>1612269.9900000002</v>
      </c>
      <c r="I571" s="89">
        <f t="shared" si="46"/>
        <v>15837</v>
      </c>
      <c r="J571" s="89">
        <f t="shared" si="46"/>
        <v>3361.25</v>
      </c>
      <c r="K571" s="89">
        <f t="shared" si="46"/>
        <v>0</v>
      </c>
      <c r="L571" s="89">
        <f t="shared" si="46"/>
        <v>6184288.5399999991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0</v>
      </c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0</v>
      </c>
      <c r="G579" s="18">
        <v>0</v>
      </c>
      <c r="H579" s="18">
        <v>36814.660000000003</v>
      </c>
      <c r="I579" s="87">
        <f t="shared" si="47"/>
        <v>36814.660000000003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0</v>
      </c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f>96776.93+243228.78+28994.54</f>
        <v>369000.24999999994</v>
      </c>
      <c r="G582" s="18">
        <f>345293.63+13303.38</f>
        <v>358597.01</v>
      </c>
      <c r="H582" s="18">
        <v>649024.87</v>
      </c>
      <c r="I582" s="87">
        <f t="shared" si="47"/>
        <v>1376622.13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>
        <v>0</v>
      </c>
      <c r="G584" s="18">
        <v>0</v>
      </c>
      <c r="H584" s="18">
        <v>22899.99</v>
      </c>
      <c r="I584" s="87">
        <f t="shared" si="47"/>
        <v>22899.99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>
        <v>0</v>
      </c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232343.18+2197.81</f>
        <v>234540.99</v>
      </c>
      <c r="I591" s="18">
        <f>106604.52+1008.41</f>
        <v>107612.93000000001</v>
      </c>
      <c r="J591" s="18">
        <f>133027.86+1258.36</f>
        <v>134286.21999999997</v>
      </c>
      <c r="K591" s="104">
        <f t="shared" ref="K591:K597" si="48">SUM(H591:J591)</f>
        <v>476440.13999999996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368829.56</v>
      </c>
      <c r="I592" s="18">
        <v>169480.56</v>
      </c>
      <c r="J592" s="18">
        <v>211173.01</v>
      </c>
      <c r="K592" s="104">
        <f t="shared" si="48"/>
        <v>749483.13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44640</v>
      </c>
      <c r="K593" s="104">
        <f t="shared" si="48"/>
        <v>44640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0</v>
      </c>
      <c r="I594" s="18">
        <v>4604.6000000000004</v>
      </c>
      <c r="J594" s="18">
        <v>21307.65</v>
      </c>
      <c r="K594" s="104">
        <f t="shared" si="48"/>
        <v>25912.25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291.2</v>
      </c>
      <c r="I595" s="18">
        <v>1607.8</v>
      </c>
      <c r="J595" s="18">
        <v>2084.0500000000002</v>
      </c>
      <c r="K595" s="104">
        <f t="shared" si="48"/>
        <v>3983.05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603661.75</v>
      </c>
      <c r="I598" s="108">
        <f>SUM(I591:I597)</f>
        <v>283305.88999999996</v>
      </c>
      <c r="J598" s="108">
        <f>SUM(J591:J597)</f>
        <v>413490.93</v>
      </c>
      <c r="K598" s="108">
        <f>SUM(K591:K597)</f>
        <v>1300458.57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1036.65+63280+1654.67+259.11</f>
        <v>66230.430000000008</v>
      </c>
      <c r="I604" s="18">
        <f>17831.59+759.2+118.89</f>
        <v>18709.68</v>
      </c>
      <c r="J604" s="18">
        <f>4853.91+947.38+57092.44</f>
        <v>62893.73</v>
      </c>
      <c r="K604" s="104">
        <f>SUM(H604:J604)</f>
        <v>147833.84000000003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66230.430000000008</v>
      </c>
      <c r="I605" s="108">
        <f>SUM(I602:I604)</f>
        <v>18709.68</v>
      </c>
      <c r="J605" s="108">
        <f>SUM(J602:J604)</f>
        <v>62893.73</v>
      </c>
      <c r="K605" s="108">
        <f>SUM(K602:K604)</f>
        <v>147833.84000000003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12172.07+20426.73+49311.9-0.01</f>
        <v>81910.69</v>
      </c>
      <c r="G611" s="18">
        <f>2397.08+4056.53+10889.94</f>
        <v>17343.550000000003</v>
      </c>
      <c r="H611" s="18">
        <v>0</v>
      </c>
      <c r="I611" s="18">
        <f>2745.93+4090.52</f>
        <v>6836.45</v>
      </c>
      <c r="J611" s="18">
        <v>0</v>
      </c>
      <c r="K611" s="18">
        <v>0</v>
      </c>
      <c r="L611" s="88">
        <f>SUM(F611:K611)</f>
        <v>106090.69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f>5584.83+9372.27+22625.46</f>
        <v>37582.559999999998</v>
      </c>
      <c r="G612" s="18">
        <f>1099.84+1861.23+4996.56</f>
        <v>7957.63</v>
      </c>
      <c r="H612" s="18">
        <v>0</v>
      </c>
      <c r="I612" s="18">
        <f>1259.9+1876.82</f>
        <v>3136.7200000000003</v>
      </c>
      <c r="J612" s="18">
        <v>0</v>
      </c>
      <c r="K612" s="18">
        <v>0</v>
      </c>
      <c r="L612" s="88">
        <f>SUM(F612:K612)</f>
        <v>48676.909999999996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f>6969.1+28233.48</f>
        <v>35202.58</v>
      </c>
      <c r="G613" s="18">
        <f>1372.45+6235.03</f>
        <v>7607.48</v>
      </c>
      <c r="H613" s="18">
        <v>0</v>
      </c>
      <c r="I613" s="18">
        <f>1572.18</f>
        <v>1572.18</v>
      </c>
      <c r="J613" s="18">
        <v>0</v>
      </c>
      <c r="K613" s="18">
        <v>0</v>
      </c>
      <c r="L613" s="88">
        <f>SUM(F613:K613)</f>
        <v>44382.239999999998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154695.83000000002</v>
      </c>
      <c r="G614" s="108">
        <f t="shared" si="49"/>
        <v>32908.660000000003</v>
      </c>
      <c r="H614" s="108">
        <f t="shared" si="49"/>
        <v>0</v>
      </c>
      <c r="I614" s="108">
        <f t="shared" si="49"/>
        <v>11545.35</v>
      </c>
      <c r="J614" s="108">
        <f t="shared" si="49"/>
        <v>0</v>
      </c>
      <c r="K614" s="108">
        <f t="shared" si="49"/>
        <v>0</v>
      </c>
      <c r="L614" s="89">
        <f t="shared" si="49"/>
        <v>199149.84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214032.12</v>
      </c>
      <c r="H617" s="109">
        <f>SUM(F52)</f>
        <v>214032.12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127681.70000000001</v>
      </c>
      <c r="H618" s="109">
        <f>SUM(G52)</f>
        <v>127681.69999999998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856149.53</v>
      </c>
      <c r="H619" s="109">
        <f>SUM(H52)</f>
        <v>856149.53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75000</v>
      </c>
      <c r="H620" s="109">
        <f>SUM(I52)</f>
        <v>75000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59539.29</v>
      </c>
      <c r="H621" s="109">
        <f>SUM(J52)</f>
        <v>59539.29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104129.51999999999</v>
      </c>
      <c r="H623" s="109">
        <f>G476</f>
        <v>104129.52000000002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115218.71</v>
      </c>
      <c r="H624" s="109">
        <f>H476</f>
        <v>115218.70999999996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35373</v>
      </c>
      <c r="H625" s="109">
        <f>I476</f>
        <v>35373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59050.41</v>
      </c>
      <c r="H626" s="109">
        <f>J476</f>
        <v>59050.409999999974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25911279.869999997</v>
      </c>
      <c r="H627" s="104">
        <f>SUM(F468)</f>
        <v>25911279.870000001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759396.54999999993</v>
      </c>
      <c r="H628" s="104">
        <f>SUM(G468)</f>
        <v>759396.55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2049634.25</v>
      </c>
      <c r="H629" s="104">
        <f>SUM(H468)</f>
        <v>2049634.25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75000</v>
      </c>
      <c r="H630" s="104">
        <f>SUM(I468)</f>
        <v>75000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58850.02</v>
      </c>
      <c r="H631" s="104">
        <f>SUM(J468)</f>
        <v>58850.02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25911279.870000001</v>
      </c>
      <c r="H632" s="104">
        <f>SUM(F472)</f>
        <v>25911279.870000001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2031308.6199999999</v>
      </c>
      <c r="H633" s="104">
        <f>SUM(H472)</f>
        <v>2031308.62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50937.1</v>
      </c>
      <c r="H634" s="104">
        <f>I369</f>
        <v>50937.1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772069.29</v>
      </c>
      <c r="H635" s="104">
        <f>SUM(G472)</f>
        <v>772069.29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39627</v>
      </c>
      <c r="H636" s="104">
        <f>SUM(I472)</f>
        <v>39627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58850.02</v>
      </c>
      <c r="H637" s="164">
        <f>SUM(J468)</f>
        <v>58850.02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136088.44</v>
      </c>
      <c r="H638" s="164">
        <f>SUM(J472)</f>
        <v>136088.44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59539.29</v>
      </c>
      <c r="H641" s="104">
        <f>SUM(H461)</f>
        <v>59539.29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59539.29</v>
      </c>
      <c r="H642" s="104">
        <f>SUM(I461)</f>
        <v>59539.29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58850.02</v>
      </c>
      <c r="H646" s="104">
        <f>L408</f>
        <v>58850.02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1300458.57</v>
      </c>
      <c r="H647" s="104">
        <f>L208+L226+L244</f>
        <v>1300458.5699999998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147833.84000000003</v>
      </c>
      <c r="H648" s="104">
        <f>(J257+J338)-(J255+J336)</f>
        <v>147833.84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603661.75</v>
      </c>
      <c r="H649" s="104">
        <f>H598</f>
        <v>603661.75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283305.88999999996</v>
      </c>
      <c r="H650" s="104">
        <f>I598</f>
        <v>283305.88999999996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413490.93</v>
      </c>
      <c r="H651" s="104">
        <f>J598</f>
        <v>413490.93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3012.95</v>
      </c>
      <c r="H652" s="104">
        <f>K263+K345</f>
        <v>3012.95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11631546.163544027</v>
      </c>
      <c r="G660" s="19">
        <f>(L229+L309+L359)</f>
        <v>6521791.691861378</v>
      </c>
      <c r="H660" s="19">
        <f>(L247+L328+L360)</f>
        <v>8664930.7045945935</v>
      </c>
      <c r="I660" s="19">
        <f>SUM(F660:H660)</f>
        <v>26818268.559999999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158939.79258724561</v>
      </c>
      <c r="G661" s="19">
        <f>(L359/IF(SUM(L358:L360)=0,1,SUM(L358:L360))*(SUM(G97:G110)))</f>
        <v>63803.392796377113</v>
      </c>
      <c r="H661" s="19">
        <f>(L360/IF(SUM(L358:L360)=0,1,SUM(L358:L360))*(SUM(G97:G110)))</f>
        <v>79617.914616377238</v>
      </c>
      <c r="I661" s="19">
        <f>SUM(F661:H661)</f>
        <v>302361.09999999998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617687.01985303278</v>
      </c>
      <c r="G662" s="19">
        <f>(L226+L306)-(J226+J306)</f>
        <v>289741.01381492085</v>
      </c>
      <c r="H662" s="19">
        <f>(L244+L325)-(J244+J325)</f>
        <v>413786.3263320463</v>
      </c>
      <c r="I662" s="19">
        <f>SUM(F662:H662)</f>
        <v>1321214.3599999999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541321.36999999988</v>
      </c>
      <c r="G663" s="199">
        <f>SUM(G575:G587)+SUM(I602:I604)+L612</f>
        <v>425983.6</v>
      </c>
      <c r="H663" s="199">
        <f>SUM(H575:H587)+SUM(J602:J604)+L613</f>
        <v>816015.49</v>
      </c>
      <c r="I663" s="19">
        <f>SUM(F663:H663)</f>
        <v>1783320.46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10313597.981103748</v>
      </c>
      <c r="G664" s="19">
        <f>G660-SUM(G661:G663)</f>
        <v>5742263.6852500802</v>
      </c>
      <c r="H664" s="19">
        <f>H660-SUM(H661:H663)</f>
        <v>7355510.9736461695</v>
      </c>
      <c r="I664" s="19">
        <f>I660-SUM(I661:I663)</f>
        <v>23411372.640000001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749.81</v>
      </c>
      <c r="G665" s="248">
        <v>346.56</v>
      </c>
      <c r="H665" s="248">
        <v>431.3</v>
      </c>
      <c r="I665" s="19">
        <f>SUM(F665:H665)</f>
        <v>1527.6699999999998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13754.95</v>
      </c>
      <c r="G667" s="19">
        <f>ROUND(G664/G665,2)</f>
        <v>16569.32</v>
      </c>
      <c r="H667" s="19">
        <f>ROUND(H664/H665,2)</f>
        <v>17054.28</v>
      </c>
      <c r="I667" s="19">
        <f>ROUND(I664/I665,2)</f>
        <v>15324.89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1.1499999999999999</v>
      </c>
      <c r="I670" s="19">
        <f>SUM(F670:H670)</f>
        <v>1.1499999999999999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13754.95</v>
      </c>
      <c r="G672" s="19">
        <f>ROUND((G664+G669)/(G665+G670),2)</f>
        <v>16569.32</v>
      </c>
      <c r="H672" s="19">
        <f>ROUND((H664+H669)/(H665+H670),2)</f>
        <v>17008.93</v>
      </c>
      <c r="I672" s="19">
        <f>ROUND((I664+I669)/(I665+I670),2)</f>
        <v>15313.36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1" sqref="B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Somersworth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5432456.7399999993</v>
      </c>
      <c r="C9" s="229">
        <f>'DOE25'!G197+'DOE25'!G215+'DOE25'!G233+'DOE25'!G276+'DOE25'!G295+'DOE25'!G314</f>
        <v>3085557.8699999996</v>
      </c>
    </row>
    <row r="10" spans="1:3" x14ac:dyDescent="0.2">
      <c r="A10" t="s">
        <v>773</v>
      </c>
      <c r="B10" s="240">
        <f>687842.18+1254686.15+1274853.68+1311012.43-0.01</f>
        <v>4528394.43</v>
      </c>
      <c r="C10" s="240">
        <f>164606.32+361106.08+318767+284795.12+12234.73+15360.08+14657.86+1213.04+2302.48+2155.06+2242.54+1482.33+2760.06+2467.26+2634.62+99.62+214.66+647.44+258.95+49975.33+91300.78+91364.46+93190.37+114806.17+217814.7+221676.56+217639.88+6621.48</f>
        <v>2294394.9800000004</v>
      </c>
    </row>
    <row r="11" spans="1:3" x14ac:dyDescent="0.2">
      <c r="A11" t="s">
        <v>774</v>
      </c>
      <c r="B11" s="240">
        <f>89919.48+102809.01</f>
        <v>192728.49</v>
      </c>
      <c r="C11" s="240">
        <f>76598.56+89583.35+2090.42+2093.56+1.42+253.92+166.4+194.22+220.69+0.3+5690.69+6132.7+10232.78+10280.62</f>
        <v>203539.63000000003</v>
      </c>
    </row>
    <row r="12" spans="1:3" x14ac:dyDescent="0.2">
      <c r="A12" t="s">
        <v>775</v>
      </c>
      <c r="B12" s="240">
        <f>24492.5+54383.87+47167.26+9562.5+24726+3000+394403.35+12136.25+84104.55+57356.69+0.85</f>
        <v>711333.82</v>
      </c>
      <c r="C12" s="240">
        <f>368886.47+1577.76+270+4128.93+3566.33+4155.21+1891.59+229.5+252.95+286.94+812.75+1331.72+2977.78+1848.49+8044.57+187275.39+86.88</f>
        <v>587623.26000000013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5432456.7400000002</v>
      </c>
      <c r="C13" s="231">
        <f>SUM(C10:C12)</f>
        <v>3085557.8700000006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2799758.87</v>
      </c>
      <c r="C18" s="229">
        <f>'DOE25'!G198+'DOE25'!G216+'DOE25'!G234+'DOE25'!G277+'DOE25'!G296+'DOE25'!G315</f>
        <v>1753062.9700000002</v>
      </c>
    </row>
    <row r="19" spans="1:3" x14ac:dyDescent="0.2">
      <c r="A19" t="s">
        <v>773</v>
      </c>
      <c r="B19" s="240">
        <f>43245+145181+277484+259551+229719.28+47729+104084.18+8790</f>
        <v>1115783.46</v>
      </c>
      <c r="C19" s="240">
        <f>5605.6+29241+83558.7+61750+52551.2+24278+272.01+1296+3285.97+2772.54+2419.76+821.54+77.12+256.96+473.92+419.52+391.52+168.64+102.74+309.63+504.78+448.12+514.63+107.25+7.96+303.62+208.58+0.36+3202.07+10789.76+19455.26+18519.1+16178.31+3222.93+7507.24+25203.62+48171.3+40454.71+39064.45+8285.69+74696.73</f>
        <v>586898.84000000008</v>
      </c>
    </row>
    <row r="20" spans="1:3" x14ac:dyDescent="0.2">
      <c r="A20" t="s">
        <v>774</v>
      </c>
      <c r="B20" s="240">
        <f>55834.75+236333.56+382817.13+441514.9+299130.86+67691.32+58250.6</f>
        <v>1541573.1199999999</v>
      </c>
      <c r="C20" s="240">
        <f>36708.5+108153+185759.64+251761.19+161530.86+45703+1360.6+4768.78+8956.01+12073.06+7347.68+2164.12+147.2+583.68+1140+1231.36+987.04+219.2+99.6+499.26+779.17+962.86+662.69+147.5+3724.15+16841.76+27476.75+31116.42+21005.3+4457.51+5213.31+26482.13+43577.21+50246.99+34041.22+7703.31+9576.34+359.6+6628.9+173.98+4392.71</f>
        <v>1126763.5900000003</v>
      </c>
    </row>
    <row r="21" spans="1:3" x14ac:dyDescent="0.2">
      <c r="A21" t="s">
        <v>775</v>
      </c>
      <c r="B21" s="240">
        <f>100170.84+40000+2071.45+160</f>
        <v>142402.29</v>
      </c>
      <c r="C21" s="240">
        <f>875+414+271+116+3060+4552+14458.4+5454.63+158.47+12.24+2365.67+7663.13</f>
        <v>39400.54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2799758.87</v>
      </c>
      <c r="C22" s="231">
        <f>SUM(C19:C21)</f>
        <v>1753062.9700000004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500810.65</v>
      </c>
      <c r="C27" s="234">
        <f>'DOE25'!G199+'DOE25'!G217+'DOE25'!G235+'DOE25'!G278+'DOE25'!G297+'DOE25'!G316</f>
        <v>295702.47000000003</v>
      </c>
    </row>
    <row r="28" spans="1:3" x14ac:dyDescent="0.2">
      <c r="A28" t="s">
        <v>773</v>
      </c>
      <c r="B28" s="240">
        <f>481083.5+4961</f>
        <v>486044.5</v>
      </c>
      <c r="C28" s="240">
        <f>154541.52+6979.34+772.8+878.65+258.32+34288.37+77508.58+1240.77</f>
        <v>276468.34999999998</v>
      </c>
    </row>
    <row r="29" spans="1:3" x14ac:dyDescent="0.2">
      <c r="A29" t="s">
        <v>774</v>
      </c>
      <c r="B29" s="240">
        <v>14766.15</v>
      </c>
      <c r="C29" s="240">
        <f>18052.46+708.3+473.36</f>
        <v>19234.12</v>
      </c>
    </row>
    <row r="30" spans="1:3" x14ac:dyDescent="0.2">
      <c r="A30" t="s">
        <v>775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500810.65</v>
      </c>
      <c r="C31" s="231">
        <f>SUM(C28:C30)</f>
        <v>295702.46999999997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280559.11</v>
      </c>
      <c r="C36" s="235">
        <f>'DOE25'!G200+'DOE25'!G218+'DOE25'!G236+'DOE25'!G279+'DOE25'!G298+'DOE25'!G317</f>
        <v>63103.6</v>
      </c>
    </row>
    <row r="37" spans="1:3" x14ac:dyDescent="0.2">
      <c r="A37" t="s">
        <v>773</v>
      </c>
      <c r="B37" s="240">
        <v>0</v>
      </c>
      <c r="C37" s="240">
        <v>0</v>
      </c>
    </row>
    <row r="38" spans="1:3" x14ac:dyDescent="0.2">
      <c r="A38" t="s">
        <v>774</v>
      </c>
      <c r="B38" s="240">
        <v>0</v>
      </c>
      <c r="C38" s="240">
        <v>0</v>
      </c>
    </row>
    <row r="39" spans="1:3" x14ac:dyDescent="0.2">
      <c r="A39" t="s">
        <v>775</v>
      </c>
      <c r="B39" s="240">
        <v>280559.11</v>
      </c>
      <c r="C39" s="240">
        <f>5777.88+15102.85+5917.76+36305.11</f>
        <v>63103.6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280559.11</v>
      </c>
      <c r="C40" s="231">
        <f>SUM(C37:C39)</f>
        <v>63103.6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Somersworth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15409931.530000001</v>
      </c>
      <c r="D5" s="20">
        <f>SUM('DOE25'!L197:L200)+SUM('DOE25'!L215:L218)+SUM('DOE25'!L233:L236)-F5-G5</f>
        <v>15383867.090000002</v>
      </c>
      <c r="E5" s="243"/>
      <c r="F5" s="255">
        <f>SUM('DOE25'!J197:J200)+SUM('DOE25'!J215:J218)+SUM('DOE25'!J233:J236)</f>
        <v>21354.44</v>
      </c>
      <c r="G5" s="53">
        <f>SUM('DOE25'!K197:K200)+SUM('DOE25'!K215:K218)+SUM('DOE25'!K233:K236)</f>
        <v>4710</v>
      </c>
      <c r="H5" s="259"/>
    </row>
    <row r="6" spans="1:9" x14ac:dyDescent="0.2">
      <c r="A6" s="32">
        <v>2100</v>
      </c>
      <c r="B6" t="s">
        <v>795</v>
      </c>
      <c r="C6" s="245">
        <f t="shared" si="0"/>
        <v>2000500.1</v>
      </c>
      <c r="D6" s="20">
        <f>'DOE25'!L202+'DOE25'!L220+'DOE25'!L238-F6-G6</f>
        <v>1989042.5</v>
      </c>
      <c r="E6" s="243"/>
      <c r="F6" s="255">
        <f>'DOE25'!J202+'DOE25'!J220+'DOE25'!J238</f>
        <v>0</v>
      </c>
      <c r="G6" s="53">
        <f>'DOE25'!K202+'DOE25'!K220+'DOE25'!K238</f>
        <v>11457.6</v>
      </c>
      <c r="H6" s="259"/>
    </row>
    <row r="7" spans="1:9" x14ac:dyDescent="0.2">
      <c r="A7" s="32">
        <v>2200</v>
      </c>
      <c r="B7" t="s">
        <v>828</v>
      </c>
      <c r="C7" s="245">
        <f t="shared" si="0"/>
        <v>384058.64999999997</v>
      </c>
      <c r="D7" s="20">
        <f>'DOE25'!L203+'DOE25'!L221+'DOE25'!L239-F7-G7</f>
        <v>382766.29</v>
      </c>
      <c r="E7" s="243"/>
      <c r="F7" s="255">
        <f>'DOE25'!J203+'DOE25'!J221+'DOE25'!J239</f>
        <v>1292.3599999999999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532337.16399999987</v>
      </c>
      <c r="D8" s="243"/>
      <c r="E8" s="20">
        <f>'DOE25'!L204+'DOE25'!L222+'DOE25'!L240-F8-G8-D9-D11</f>
        <v>527222.45399999991</v>
      </c>
      <c r="F8" s="255">
        <f>'DOE25'!J204+'DOE25'!J222+'DOE25'!J240</f>
        <v>0</v>
      </c>
      <c r="G8" s="53">
        <f>'DOE25'!K204+'DOE25'!K222+'DOE25'!K240</f>
        <v>5114.71</v>
      </c>
      <c r="H8" s="259"/>
    </row>
    <row r="9" spans="1:9" x14ac:dyDescent="0.2">
      <c r="A9" s="32">
        <v>2310</v>
      </c>
      <c r="B9" t="s">
        <v>812</v>
      </c>
      <c r="C9" s="245">
        <f t="shared" si="0"/>
        <v>19958.61</v>
      </c>
      <c r="D9" s="244">
        <f>15946.48+4012.13</f>
        <v>19958.61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8597.75</v>
      </c>
      <c r="D10" s="243"/>
      <c r="E10" s="244">
        <v>8597.75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318013.29600000003</v>
      </c>
      <c r="D11" s="244">
        <f>377688*84.2%</f>
        <v>318013.29600000003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1583208.08</v>
      </c>
      <c r="D12" s="20">
        <f>'DOE25'!L205+'DOE25'!L223+'DOE25'!L241-F12-G12</f>
        <v>1575419.08</v>
      </c>
      <c r="E12" s="243"/>
      <c r="F12" s="255">
        <f>'DOE25'!J205+'DOE25'!J223+'DOE25'!J241</f>
        <v>954</v>
      </c>
      <c r="G12" s="53">
        <f>'DOE25'!K205+'DOE25'!K223+'DOE25'!K241</f>
        <v>6835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2273198.19</v>
      </c>
      <c r="D14" s="20">
        <f>'DOE25'!L207+'DOE25'!L225+'DOE25'!L243-F14-G14</f>
        <v>2273076.84</v>
      </c>
      <c r="E14" s="243"/>
      <c r="F14" s="255">
        <f>'DOE25'!J207+'DOE25'!J225+'DOE25'!J243</f>
        <v>121.35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1300458.5699999998</v>
      </c>
      <c r="D15" s="20">
        <f>'DOE25'!L208+'DOE25'!L226+'DOE25'!L244-F15-G15</f>
        <v>1300458.5699999998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211169.73</v>
      </c>
      <c r="D16" s="243"/>
      <c r="E16" s="20">
        <f>'DOE25'!L209+'DOE25'!L227+'DOE25'!L245-F16-G16</f>
        <v>211169.73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1875433</v>
      </c>
      <c r="D25" s="243"/>
      <c r="E25" s="243"/>
      <c r="F25" s="258"/>
      <c r="G25" s="256"/>
      <c r="H25" s="257">
        <f>'DOE25'!L260+'DOE25'!L261+'DOE25'!L341+'DOE25'!L342</f>
        <v>1875433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772069.29</v>
      </c>
      <c r="D29" s="20">
        <f>'DOE25'!L358+'DOE25'!L359+'DOE25'!L360-'DOE25'!I367-F29-G29</f>
        <v>771583.29</v>
      </c>
      <c r="E29" s="243"/>
      <c r="F29" s="255">
        <f>'DOE25'!J358+'DOE25'!J359+'DOE25'!J360</f>
        <v>486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2013365.3499999999</v>
      </c>
      <c r="D31" s="20">
        <f>'DOE25'!L290+'DOE25'!L309+'DOE25'!L328+'DOE25'!L333+'DOE25'!L334+'DOE25'!L335-F31-G31</f>
        <v>1821440.5</v>
      </c>
      <c r="E31" s="243"/>
      <c r="F31" s="255">
        <f>'DOE25'!J290+'DOE25'!J309+'DOE25'!J328+'DOE25'!J333+'DOE25'!J334+'DOE25'!J335</f>
        <v>124111.69</v>
      </c>
      <c r="G31" s="53">
        <f>'DOE25'!K290+'DOE25'!K309+'DOE25'!K328+'DOE25'!K333+'DOE25'!K334+'DOE25'!K335</f>
        <v>67813.16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25835626.066000003</v>
      </c>
      <c r="E33" s="246">
        <f>SUM(E5:E31)</f>
        <v>746989.93399999989</v>
      </c>
      <c r="F33" s="246">
        <f>SUM(F5:F31)</f>
        <v>148319.84</v>
      </c>
      <c r="G33" s="246">
        <f>SUM(G5:G31)</f>
        <v>95930.47</v>
      </c>
      <c r="H33" s="246">
        <f>SUM(H5:H31)</f>
        <v>1875433</v>
      </c>
    </row>
    <row r="35" spans="2:8" ht="12" thickBot="1" x14ac:dyDescent="0.25">
      <c r="B35" s="253" t="s">
        <v>841</v>
      </c>
      <c r="D35" s="254">
        <f>E33</f>
        <v>746989.93399999989</v>
      </c>
      <c r="E35" s="249"/>
    </row>
    <row r="36" spans="2:8" ht="12" thickTop="1" x14ac:dyDescent="0.2">
      <c r="B36" t="s">
        <v>809</v>
      </c>
      <c r="D36" s="20">
        <f>D33</f>
        <v>25835626.066000003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Somersworth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15855.89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43793.51</v>
      </c>
      <c r="E12" s="95">
        <f>'DOE25'!H13</f>
        <v>856149.53</v>
      </c>
      <c r="F12" s="95">
        <f>'DOE25'!I13</f>
        <v>0</v>
      </c>
      <c r="G12" s="95">
        <f>'DOE25'!J13</f>
        <v>59539.29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58255.49</v>
      </c>
      <c r="D13" s="95">
        <f>'DOE25'!G14</f>
        <v>1771.5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155776.63</v>
      </c>
      <c r="D17" s="95">
        <f>'DOE25'!G18</f>
        <v>66260.800000000003</v>
      </c>
      <c r="E17" s="95">
        <f>'DOE25'!H18</f>
        <v>0</v>
      </c>
      <c r="F17" s="95">
        <f>'DOE25'!I18</f>
        <v>75000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214032.12</v>
      </c>
      <c r="D18" s="41">
        <f>SUM(D8:D17)</f>
        <v>127681.70000000001</v>
      </c>
      <c r="E18" s="41">
        <f>SUM(E8:E17)</f>
        <v>856149.53</v>
      </c>
      <c r="F18" s="41">
        <f>SUM(F8:F17)</f>
        <v>75000</v>
      </c>
      <c r="G18" s="41">
        <f>SUM(G8:G17)</f>
        <v>59539.29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488.88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214032.12</v>
      </c>
      <c r="D23" s="95">
        <f>'DOE25'!G24</f>
        <v>9402.0300000000007</v>
      </c>
      <c r="E23" s="95">
        <f>'DOE25'!H24</f>
        <v>40406.67</v>
      </c>
      <c r="F23" s="95">
        <f>'DOE25'!I24</f>
        <v>39627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14150.15</v>
      </c>
      <c r="E30" s="95">
        <f>'DOE25'!H31</f>
        <v>700524.15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214032.12</v>
      </c>
      <c r="D31" s="41">
        <f>SUM(D21:D30)</f>
        <v>23552.18</v>
      </c>
      <c r="E31" s="41">
        <f>SUM(E21:E30)</f>
        <v>740930.82000000007</v>
      </c>
      <c r="F31" s="41">
        <f>SUM(F21:F30)</f>
        <v>39627</v>
      </c>
      <c r="G31" s="41">
        <f>SUM(G21:G30)</f>
        <v>488.88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104129.51999999999</v>
      </c>
      <c r="E47" s="95">
        <f>'DOE25'!H48</f>
        <v>115218.71</v>
      </c>
      <c r="F47" s="95">
        <f>'DOE25'!I48</f>
        <v>35373</v>
      </c>
      <c r="G47" s="95">
        <f>'DOE25'!J48</f>
        <v>59050.41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0</v>
      </c>
      <c r="D50" s="41">
        <f>SUM(D34:D49)</f>
        <v>104129.51999999999</v>
      </c>
      <c r="E50" s="41">
        <f>SUM(E34:E49)</f>
        <v>115218.71</v>
      </c>
      <c r="F50" s="41">
        <f>SUM(F34:F49)</f>
        <v>35373</v>
      </c>
      <c r="G50" s="41">
        <f>SUM(G34:G49)</f>
        <v>59050.41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214032.12</v>
      </c>
      <c r="D51" s="41">
        <f>D50+D31</f>
        <v>127681.69999999998</v>
      </c>
      <c r="E51" s="41">
        <f>E50+E31</f>
        <v>856149.53</v>
      </c>
      <c r="F51" s="41">
        <f>F50+F31</f>
        <v>75000</v>
      </c>
      <c r="G51" s="41">
        <f>G50+G31</f>
        <v>59539.29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15068245.310000001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282839.69999999995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281329.05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3912.5</v>
      </c>
      <c r="D61" s="95">
        <f>SUM('DOE25'!G98:G110)</f>
        <v>21032.05</v>
      </c>
      <c r="E61" s="95">
        <f>SUM('DOE25'!H98:H110)</f>
        <v>0</v>
      </c>
      <c r="F61" s="95">
        <f>SUM('DOE25'!I98:I110)</f>
        <v>0</v>
      </c>
      <c r="G61" s="95">
        <f>SUM('DOE25'!J98:J110)</f>
        <v>58850.02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286752.19999999995</v>
      </c>
      <c r="D62" s="130">
        <f>SUM(D57:D61)</f>
        <v>302361.09999999998</v>
      </c>
      <c r="E62" s="130">
        <f>SUM(E57:E61)</f>
        <v>0</v>
      </c>
      <c r="F62" s="130">
        <f>SUM(F57:F61)</f>
        <v>0</v>
      </c>
      <c r="G62" s="130">
        <f>SUM(G57:G61)</f>
        <v>58850.02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15354997.51</v>
      </c>
      <c r="D63" s="22">
        <f>D56+D62</f>
        <v>302361.09999999998</v>
      </c>
      <c r="E63" s="22">
        <f>E56+E62</f>
        <v>0</v>
      </c>
      <c r="F63" s="22">
        <f>F56+F62</f>
        <v>0</v>
      </c>
      <c r="G63" s="22">
        <f>G56+G62</f>
        <v>58850.02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7429197.6799999997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1882114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16122.76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9327434.4399999995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674243.03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162730.75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27542.079999999998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9287.15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864515.86</v>
      </c>
      <c r="D78" s="130">
        <f>SUM(D72:D77)</f>
        <v>9287.15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10191950.299999999</v>
      </c>
      <c r="D81" s="130">
        <f>SUM(D79:D80)+D78+D70</f>
        <v>9287.15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364332.06</v>
      </c>
      <c r="D88" s="95">
        <f>SUM('DOE25'!G153:G161)</f>
        <v>444735.35</v>
      </c>
      <c r="E88" s="95">
        <f>SUM('DOE25'!H153:H161)</f>
        <v>2049634.25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364332.06</v>
      </c>
      <c r="D91" s="131">
        <f>SUM(D85:D90)</f>
        <v>444735.35</v>
      </c>
      <c r="E91" s="131">
        <f>SUM(E85:E90)</f>
        <v>2049634.25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3012.95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75000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3012.95</v>
      </c>
      <c r="E103" s="86">
        <f>SUM(E93:E102)</f>
        <v>0</v>
      </c>
      <c r="F103" s="86">
        <f>SUM(F93:F102)</f>
        <v>75000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25911279.869999997</v>
      </c>
      <c r="D104" s="86">
        <f>D63+D81+D91+D103</f>
        <v>759396.54999999993</v>
      </c>
      <c r="E104" s="86">
        <f>E63+E81+E91+E103</f>
        <v>2049634.25</v>
      </c>
      <c r="F104" s="86">
        <f>F63+F81+F91+F103</f>
        <v>75000</v>
      </c>
      <c r="G104" s="86">
        <f>G63+G81+G103</f>
        <v>58850.02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8292101.9699999988</v>
      </c>
      <c r="D109" s="24" t="s">
        <v>286</v>
      </c>
      <c r="E109" s="95">
        <f>('DOE25'!L276)+('DOE25'!L295)+('DOE25'!L314)</f>
        <v>693375.62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6097043.9000000004</v>
      </c>
      <c r="D110" s="24" t="s">
        <v>286</v>
      </c>
      <c r="E110" s="95">
        <f>('DOE25'!L277)+('DOE25'!L296)+('DOE25'!L315)</f>
        <v>87245.540000000008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861555.08000000007</v>
      </c>
      <c r="D111" s="24" t="s">
        <v>286</v>
      </c>
      <c r="E111" s="95">
        <f>('DOE25'!L278)+('DOE25'!L297)+('DOE25'!L316)</f>
        <v>92779.58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159230.58000000002</v>
      </c>
      <c r="D112" s="24" t="s">
        <v>286</v>
      </c>
      <c r="E112" s="95">
        <f>+('DOE25'!L279)+('DOE25'!L298)+('DOE25'!L317)</f>
        <v>314829.91999999993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17943.27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15409931.529999999</v>
      </c>
      <c r="D115" s="86">
        <f>SUM(D109:D114)</f>
        <v>0</v>
      </c>
      <c r="E115" s="86">
        <f>SUM(E109:E114)</f>
        <v>1206173.93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2000500.1</v>
      </c>
      <c r="D118" s="24" t="s">
        <v>286</v>
      </c>
      <c r="E118" s="95">
        <f>+('DOE25'!L281)+('DOE25'!L300)+('DOE25'!L319)</f>
        <v>299478.03999999998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384058.64999999997</v>
      </c>
      <c r="D119" s="24" t="s">
        <v>286</v>
      </c>
      <c r="E119" s="95">
        <f>+('DOE25'!L282)+('DOE25'!L301)+('DOE25'!L320)</f>
        <v>272860.99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870309.07</v>
      </c>
      <c r="D120" s="24" t="s">
        <v>286</v>
      </c>
      <c r="E120" s="95">
        <f>+('DOE25'!L283)+('DOE25'!L302)+('DOE25'!L321)</f>
        <v>113673.06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1583208.08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118366.80999999998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2273198.19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1300458.5699999998</v>
      </c>
      <c r="D124" s="24" t="s">
        <v>286</v>
      </c>
      <c r="E124" s="95">
        <f>+('DOE25'!L287)+('DOE25'!L306)+('DOE25'!L325)</f>
        <v>20755.789999999997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211169.73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772069.29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8622902.3900000006</v>
      </c>
      <c r="D128" s="86">
        <f>SUM(D118:D127)</f>
        <v>772069.29</v>
      </c>
      <c r="E128" s="86">
        <f>SUM(E118:E127)</f>
        <v>825134.69000000006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39627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520147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1355286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75000</v>
      </c>
    </row>
    <row r="135" spans="1:7" x14ac:dyDescent="0.2">
      <c r="A135" t="s">
        <v>233</v>
      </c>
      <c r="B135" s="32" t="s">
        <v>234</v>
      </c>
      <c r="C135" s="95">
        <f>'DOE25'!L263</f>
        <v>3012.95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58850.02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-58850.02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1878445.95</v>
      </c>
      <c r="D144" s="141">
        <f>SUM(D130:D143)</f>
        <v>0</v>
      </c>
      <c r="E144" s="141">
        <f>SUM(E130:E143)</f>
        <v>0</v>
      </c>
      <c r="F144" s="141">
        <f>SUM(F130:F143)</f>
        <v>39627</v>
      </c>
      <c r="G144" s="141">
        <f>SUM(G130:G143)</f>
        <v>75000</v>
      </c>
    </row>
    <row r="145" spans="1:9" ht="12.75" thickTop="1" thickBot="1" x14ac:dyDescent="0.25">
      <c r="A145" s="33" t="s">
        <v>244</v>
      </c>
      <c r="C145" s="86">
        <f>(C115+C128+C144)</f>
        <v>25911279.870000001</v>
      </c>
      <c r="D145" s="86">
        <f>(D115+D128+D144)</f>
        <v>772069.29</v>
      </c>
      <c r="E145" s="86">
        <f>(E115+E128+E144)</f>
        <v>2031308.62</v>
      </c>
      <c r="F145" s="86">
        <f>(F115+F128+F144)</f>
        <v>39627</v>
      </c>
      <c r="G145" s="86">
        <f>(G115+G128+G144)</f>
        <v>75000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</v>
      </c>
      <c r="C151" s="153" t="e">
        <f>'DOE25'!#REF!</f>
        <v>#REF!</v>
      </c>
      <c r="D151" s="153">
        <f>'DOE25'!G490</f>
        <v>2</v>
      </c>
      <c r="E151" s="153">
        <f>'DOE25'!H490</f>
        <v>3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</v>
      </c>
      <c r="C152" s="152" t="e">
        <f>'DOE25'!#REF!</f>
        <v>#REF!</v>
      </c>
      <c r="D152" s="152" t="str">
        <f>'DOE25'!G491</f>
        <v>01/10</v>
      </c>
      <c r="E152" s="152" t="str">
        <f>'DOE25'!H491</f>
        <v>08/13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</v>
      </c>
      <c r="C153" s="152" t="e">
        <f>'DOE25'!#REF!</f>
        <v>#REF!</v>
      </c>
      <c r="D153" s="152" t="str">
        <f>'DOE25'!G492</f>
        <v>01/30</v>
      </c>
      <c r="E153" s="152" t="str">
        <f>'DOE25'!H492</f>
        <v>08/28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310000</v>
      </c>
      <c r="C154" s="137" t="e">
        <f>'DOE25'!#REF!</f>
        <v>#REF!</v>
      </c>
      <c r="D154" s="137">
        <f>'DOE25'!G493</f>
        <v>18953000</v>
      </c>
      <c r="E154" s="137">
        <f>'DOE25'!H493</f>
        <v>1181700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5.2</v>
      </c>
      <c r="C155" s="137" t="e">
        <f>'DOE25'!#REF!</f>
        <v>#REF!</v>
      </c>
      <c r="D155" s="137">
        <f>'DOE25'!G494</f>
        <v>3.73</v>
      </c>
      <c r="E155" s="137">
        <f>'DOE25'!H494</f>
        <v>3.1429999999999998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45000</v>
      </c>
      <c r="C156" s="137">
        <f>'DOE25'!G495</f>
        <v>11522434</v>
      </c>
      <c r="D156" s="137">
        <f>'DOE25'!H495</f>
        <v>929300</v>
      </c>
      <c r="E156" s="137">
        <f>'DOE25'!I495</f>
        <v>1355000</v>
      </c>
      <c r="F156" s="137">
        <f>'DOE25'!J495</f>
        <v>0</v>
      </c>
      <c r="G156" s="138">
        <f>SUM(B156:F156)</f>
        <v>13851734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15000</v>
      </c>
      <c r="C158" s="137">
        <f>'DOE25'!G497</f>
        <v>988866</v>
      </c>
      <c r="D158" s="137">
        <f>'DOE25'!H497</f>
        <v>81850</v>
      </c>
      <c r="E158" s="137">
        <f>'DOE25'!I497</f>
        <v>100000</v>
      </c>
      <c r="F158" s="137">
        <f>'DOE25'!J497</f>
        <v>0</v>
      </c>
      <c r="G158" s="138">
        <f t="shared" si="0"/>
        <v>1185716</v>
      </c>
    </row>
    <row r="159" spans="1:9" x14ac:dyDescent="0.2">
      <c r="A159" s="22" t="s">
        <v>35</v>
      </c>
      <c r="B159" s="137">
        <f>'DOE25'!F498</f>
        <v>30000</v>
      </c>
      <c r="C159" s="137">
        <f>'DOE25'!G498</f>
        <v>8384070</v>
      </c>
      <c r="D159" s="137">
        <f>'DOE25'!H498</f>
        <v>765600</v>
      </c>
      <c r="E159" s="137">
        <f>'DOE25'!I498</f>
        <v>1255000</v>
      </c>
      <c r="F159" s="137">
        <f>'DOE25'!J498</f>
        <v>0</v>
      </c>
      <c r="G159" s="138">
        <f t="shared" si="0"/>
        <v>10434670</v>
      </c>
    </row>
    <row r="160" spans="1:9" x14ac:dyDescent="0.2">
      <c r="A160" s="22" t="s">
        <v>36</v>
      </c>
      <c r="B160" s="137">
        <f>'DOE25'!F499</f>
        <v>1575</v>
      </c>
      <c r="C160" s="137">
        <f>'DOE25'!G499</f>
        <v>7025144</v>
      </c>
      <c r="D160" s="137">
        <f>'DOE25'!H499</f>
        <v>186807</v>
      </c>
      <c r="E160" s="137">
        <f>'DOE25'!I499</f>
        <v>292710</v>
      </c>
      <c r="F160" s="137">
        <f>'DOE25'!J499</f>
        <v>0</v>
      </c>
      <c r="G160" s="138">
        <f t="shared" si="0"/>
        <v>7506236</v>
      </c>
    </row>
    <row r="161" spans="1:7" x14ac:dyDescent="0.2">
      <c r="A161" s="22" t="s">
        <v>37</v>
      </c>
      <c r="B161" s="137">
        <f>'DOE25'!F500</f>
        <v>31575</v>
      </c>
      <c r="C161" s="137">
        <f>'DOE25'!G500</f>
        <v>15409214</v>
      </c>
      <c r="D161" s="137">
        <f>'DOE25'!H500</f>
        <v>952407</v>
      </c>
      <c r="E161" s="137">
        <f>'DOE25'!I500</f>
        <v>1547710</v>
      </c>
      <c r="F161" s="137">
        <f>'DOE25'!J500</f>
        <v>0</v>
      </c>
      <c r="G161" s="138">
        <f t="shared" si="0"/>
        <v>17940906</v>
      </c>
    </row>
    <row r="162" spans="1:7" x14ac:dyDescent="0.2">
      <c r="A162" s="22" t="s">
        <v>38</v>
      </c>
      <c r="B162" s="137">
        <f>'DOE25'!F501</f>
        <v>15000</v>
      </c>
      <c r="C162" s="137">
        <f>'DOE25'!G501</f>
        <v>945130</v>
      </c>
      <c r="D162" s="137">
        <f>'DOE25'!H501</f>
        <v>81850</v>
      </c>
      <c r="E162" s="137">
        <f>'DOE25'!I501</f>
        <v>100000</v>
      </c>
      <c r="F162" s="137">
        <f>'DOE25'!J501</f>
        <v>0</v>
      </c>
      <c r="G162" s="138">
        <f t="shared" si="0"/>
        <v>1141980</v>
      </c>
    </row>
    <row r="163" spans="1:7" x14ac:dyDescent="0.2">
      <c r="A163" s="22" t="s">
        <v>39</v>
      </c>
      <c r="B163" s="137">
        <f>'DOE25'!F502</f>
        <v>394</v>
      </c>
      <c r="C163" s="137">
        <f>'DOE25'!G502</f>
        <v>453680</v>
      </c>
      <c r="D163" s="137">
        <f>'DOE25'!H502</f>
        <v>36507</v>
      </c>
      <c r="E163" s="137">
        <f>'DOE25'!I502</f>
        <v>48260</v>
      </c>
      <c r="F163" s="137">
        <f>'DOE25'!J502</f>
        <v>0</v>
      </c>
      <c r="G163" s="138">
        <f t="shared" si="0"/>
        <v>538841</v>
      </c>
    </row>
    <row r="164" spans="1:7" x14ac:dyDescent="0.2">
      <c r="A164" s="22" t="s">
        <v>246</v>
      </c>
      <c r="B164" s="137">
        <f>'DOE25'!F503</f>
        <v>15394</v>
      </c>
      <c r="C164" s="137">
        <f>'DOE25'!G503</f>
        <v>1398810</v>
      </c>
      <c r="D164" s="137">
        <f>'DOE25'!H503</f>
        <v>118357</v>
      </c>
      <c r="E164" s="137">
        <f>'DOE25'!I503</f>
        <v>148260</v>
      </c>
      <c r="F164" s="137">
        <f>'DOE25'!J503</f>
        <v>0</v>
      </c>
      <c r="G164" s="138">
        <f t="shared" si="0"/>
        <v>1680821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Somersworth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13755</v>
      </c>
    </row>
    <row r="5" spans="1:4" x14ac:dyDescent="0.2">
      <c r="B5" t="s">
        <v>698</v>
      </c>
      <c r="C5" s="179">
        <f>IF('DOE25'!G665+'DOE25'!G670=0,0,ROUND('DOE25'!G672,0))</f>
        <v>16569</v>
      </c>
    </row>
    <row r="6" spans="1:4" x14ac:dyDescent="0.2">
      <c r="B6" t="s">
        <v>62</v>
      </c>
      <c r="C6" s="179">
        <f>IF('DOE25'!H665+'DOE25'!H670=0,0,ROUND('DOE25'!H672,0))</f>
        <v>17009</v>
      </c>
    </row>
    <row r="7" spans="1:4" x14ac:dyDescent="0.2">
      <c r="B7" t="s">
        <v>699</v>
      </c>
      <c r="C7" s="179">
        <f>IF('DOE25'!I665+'DOE25'!I670=0,0,ROUND('DOE25'!I672,0))</f>
        <v>15313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8985478</v>
      </c>
      <c r="D10" s="182">
        <f>ROUND((C10/$C$28)*100,1)</f>
        <v>32.200000000000003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6184289</v>
      </c>
      <c r="D11" s="182">
        <f>ROUND((C11/$C$28)*100,1)</f>
        <v>22.2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954335</v>
      </c>
      <c r="D12" s="182">
        <f>ROUND((C12/$C$28)*100,1)</f>
        <v>3.4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474061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2299978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656920</v>
      </c>
      <c r="D16" s="182">
        <f t="shared" si="0"/>
        <v>2.4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1195152</v>
      </c>
      <c r="D17" s="182">
        <f t="shared" si="0"/>
        <v>4.3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1583208</v>
      </c>
      <c r="D18" s="182">
        <f t="shared" si="0"/>
        <v>5.7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118367</v>
      </c>
      <c r="D19" s="182">
        <f t="shared" si="0"/>
        <v>0.4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2273198</v>
      </c>
      <c r="D20" s="182">
        <f t="shared" si="0"/>
        <v>8.1999999999999993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1321214</v>
      </c>
      <c r="D21" s="182">
        <f t="shared" si="0"/>
        <v>4.7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17943</v>
      </c>
      <c r="D23" s="182">
        <f t="shared" si="0"/>
        <v>0.1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1355286</v>
      </c>
      <c r="D25" s="182">
        <f t="shared" si="0"/>
        <v>4.9000000000000004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469707.9</v>
      </c>
      <c r="D27" s="182">
        <f t="shared" si="0"/>
        <v>1.7</v>
      </c>
    </row>
    <row r="28" spans="1:4" x14ac:dyDescent="0.2">
      <c r="B28" s="187" t="s">
        <v>717</v>
      </c>
      <c r="C28" s="180">
        <f>SUM(C10:C27)</f>
        <v>27889136.899999999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39627</v>
      </c>
    </row>
    <row r="30" spans="1:4" x14ac:dyDescent="0.2">
      <c r="B30" s="187" t="s">
        <v>723</v>
      </c>
      <c r="C30" s="180">
        <f>SUM(C28:C29)</f>
        <v>27928763.899999999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520147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15068245</v>
      </c>
      <c r="D35" s="182">
        <f t="shared" ref="D35:D40" si="1">ROUND((C35/$C$41)*100,1)</f>
        <v>52.9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345602.52999999933</v>
      </c>
      <c r="D36" s="182">
        <f t="shared" si="1"/>
        <v>1.2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9311312</v>
      </c>
      <c r="D37" s="182">
        <f t="shared" si="1"/>
        <v>32.700000000000003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889926</v>
      </c>
      <c r="D38" s="182">
        <f t="shared" si="1"/>
        <v>3.1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2858702</v>
      </c>
      <c r="D39" s="182">
        <f t="shared" si="1"/>
        <v>10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28473787.530000001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B46" sqref="B4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Somersworth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2018-09-19T18:44:09Z</cp:lastPrinted>
  <dcterms:created xsi:type="dcterms:W3CDTF">1997-12-04T19:04:30Z</dcterms:created>
  <dcterms:modified xsi:type="dcterms:W3CDTF">2018-12-10T12:54:54Z</dcterms:modified>
</cp:coreProperties>
</file>