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2540" windowHeight="106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9" i="12" l="1"/>
  <c r="B19" i="12" l="1"/>
  <c r="B10" i="12"/>
  <c r="I48" i="1"/>
  <c r="F465" i="1"/>
  <c r="F13" i="1"/>
  <c r="F9" i="1"/>
  <c r="G613" i="1"/>
  <c r="F613" i="1"/>
  <c r="I613" i="1"/>
  <c r="H613" i="1"/>
  <c r="J596" i="1"/>
  <c r="F502" i="1"/>
  <c r="F499" i="1"/>
  <c r="F498" i="1"/>
  <c r="J472" i="1"/>
  <c r="I472" i="1"/>
  <c r="H472" i="1"/>
  <c r="G472" i="1"/>
  <c r="F472" i="1"/>
  <c r="G468" i="1"/>
  <c r="H468" i="1"/>
  <c r="I468" i="1"/>
  <c r="J468" i="1"/>
  <c r="F468" i="1"/>
  <c r="H459" i="1"/>
  <c r="H451" i="1"/>
  <c r="H439" i="1"/>
  <c r="G459" i="1"/>
  <c r="G442" i="1"/>
  <c r="G429" i="1"/>
  <c r="F429" i="1"/>
  <c r="H397" i="1"/>
  <c r="I403" i="1"/>
  <c r="H22" i="1" l="1"/>
  <c r="F50" i="1"/>
  <c r="H48" i="1"/>
  <c r="F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E13" i="13" s="1"/>
  <c r="C13" i="13" s="1"/>
  <c r="L206" i="1"/>
  <c r="L224" i="1"/>
  <c r="L242" i="1"/>
  <c r="F16" i="13"/>
  <c r="E16" i="13" s="1"/>
  <c r="C16" i="13" s="1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C12" i="10" s="1"/>
  <c r="L236" i="1"/>
  <c r="C112" i="2" s="1"/>
  <c r="F6" i="13"/>
  <c r="G6" i="13"/>
  <c r="L202" i="1"/>
  <c r="L220" i="1"/>
  <c r="L238" i="1"/>
  <c r="D6" i="13" s="1"/>
  <c r="C6" i="13" s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E112" i="2" s="1"/>
  <c r="L319" i="1"/>
  <c r="L320" i="1"/>
  <c r="E119" i="2" s="1"/>
  <c r="L321" i="1"/>
  <c r="E120" i="2" s="1"/>
  <c r="L322" i="1"/>
  <c r="E121" i="2" s="1"/>
  <c r="L323" i="1"/>
  <c r="L324" i="1"/>
  <c r="E123" i="2" s="1"/>
  <c r="L325" i="1"/>
  <c r="E124" i="2" s="1"/>
  <c r="L326" i="1"/>
  <c r="L333" i="1"/>
  <c r="L334" i="1"/>
  <c r="L335" i="1"/>
  <c r="L260" i="1"/>
  <c r="L261" i="1"/>
  <c r="C132" i="2" s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E143" i="2" s="1"/>
  <c r="I665" i="1"/>
  <c r="I670" i="1"/>
  <c r="L229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E114" i="2"/>
  <c r="D115" i="2"/>
  <c r="F115" i="2"/>
  <c r="G115" i="2"/>
  <c r="C121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L256" i="1" s="1"/>
  <c r="L270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640" i="1" s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3" i="1"/>
  <c r="H643" i="1"/>
  <c r="G644" i="1"/>
  <c r="H645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C26" i="10"/>
  <c r="L351" i="1"/>
  <c r="L290" i="1"/>
  <c r="A31" i="12"/>
  <c r="C70" i="2"/>
  <c r="D18" i="13"/>
  <c r="C18" i="13" s="1"/>
  <c r="D15" i="13"/>
  <c r="C15" i="13" s="1"/>
  <c r="D17" i="13"/>
  <c r="C17" i="13" s="1"/>
  <c r="E8" i="13"/>
  <c r="C8" i="13" s="1"/>
  <c r="F78" i="2"/>
  <c r="F81" i="2" s="1"/>
  <c r="D50" i="2"/>
  <c r="G157" i="2"/>
  <c r="G62" i="2"/>
  <c r="D19" i="13"/>
  <c r="C19" i="13" s="1"/>
  <c r="L427" i="1"/>
  <c r="F112" i="1"/>
  <c r="J571" i="1"/>
  <c r="K571" i="1"/>
  <c r="I169" i="1"/>
  <c r="J643" i="1"/>
  <c r="H476" i="1"/>
  <c r="H624" i="1" s="1"/>
  <c r="I476" i="1"/>
  <c r="H625" i="1" s="1"/>
  <c r="F169" i="1"/>
  <c r="J140" i="1"/>
  <c r="K549" i="1"/>
  <c r="K550" i="1"/>
  <c r="G22" i="2"/>
  <c r="J552" i="1"/>
  <c r="H140" i="1"/>
  <c r="L401" i="1"/>
  <c r="C139" i="2" s="1"/>
  <c r="L393" i="1"/>
  <c r="C138" i="2" s="1"/>
  <c r="A13" i="12"/>
  <c r="F22" i="13"/>
  <c r="C22" i="13" s="1"/>
  <c r="L560" i="1"/>
  <c r="G192" i="1"/>
  <c r="C35" i="10"/>
  <c r="L309" i="1"/>
  <c r="G36" i="2"/>
  <c r="L614" i="1" l="1"/>
  <c r="J476" i="1"/>
  <c r="H626" i="1" s="1"/>
  <c r="F476" i="1"/>
  <c r="H622" i="1" s="1"/>
  <c r="G476" i="1"/>
  <c r="H623" i="1" s="1"/>
  <c r="J641" i="1"/>
  <c r="J640" i="1"/>
  <c r="J644" i="1"/>
  <c r="F130" i="2"/>
  <c r="F144" i="2" s="1"/>
  <c r="F145" i="2" s="1"/>
  <c r="L382" i="1"/>
  <c r="G636" i="1" s="1"/>
  <c r="J636" i="1" s="1"/>
  <c r="F18" i="2"/>
  <c r="K605" i="1"/>
  <c r="G648" i="1" s="1"/>
  <c r="K598" i="1"/>
  <c r="G647" i="1" s="1"/>
  <c r="J651" i="1"/>
  <c r="C21" i="10"/>
  <c r="C20" i="10"/>
  <c r="E122" i="2"/>
  <c r="C18" i="10"/>
  <c r="K338" i="1"/>
  <c r="K352" i="1" s="1"/>
  <c r="E118" i="2"/>
  <c r="L328" i="1"/>
  <c r="L338" i="1" s="1"/>
  <c r="L352" i="1" s="1"/>
  <c r="G633" i="1" s="1"/>
  <c r="J633" i="1" s="1"/>
  <c r="G645" i="1"/>
  <c r="J645" i="1" s="1"/>
  <c r="E62" i="2"/>
  <c r="E63" i="2" s="1"/>
  <c r="D91" i="2"/>
  <c r="C91" i="2"/>
  <c r="J545" i="1"/>
  <c r="I545" i="1"/>
  <c r="L529" i="1"/>
  <c r="L539" i="1"/>
  <c r="L534" i="1"/>
  <c r="K551" i="1"/>
  <c r="K552" i="1" s="1"/>
  <c r="F552" i="1"/>
  <c r="H545" i="1"/>
  <c r="C25" i="10"/>
  <c r="H25" i="13"/>
  <c r="C25" i="13" s="1"/>
  <c r="C17" i="10"/>
  <c r="H647" i="1"/>
  <c r="J647" i="1" s="1"/>
  <c r="H662" i="1"/>
  <c r="I662" i="1"/>
  <c r="D14" i="13"/>
  <c r="C14" i="13" s="1"/>
  <c r="C123" i="2"/>
  <c r="C122" i="2"/>
  <c r="D12" i="13"/>
  <c r="C12" i="13" s="1"/>
  <c r="E33" i="13"/>
  <c r="D35" i="13" s="1"/>
  <c r="D7" i="13"/>
  <c r="C7" i="13" s="1"/>
  <c r="C16" i="10"/>
  <c r="C118" i="2"/>
  <c r="F257" i="1"/>
  <c r="F271" i="1" s="1"/>
  <c r="C13" i="10"/>
  <c r="C11" i="10"/>
  <c r="K257" i="1"/>
  <c r="K271" i="1" s="1"/>
  <c r="J257" i="1"/>
  <c r="J271" i="1" s="1"/>
  <c r="I257" i="1"/>
  <c r="I271" i="1" s="1"/>
  <c r="C111" i="2"/>
  <c r="C115" i="2" s="1"/>
  <c r="G257" i="1"/>
  <c r="G271" i="1" s="1"/>
  <c r="C10" i="10"/>
  <c r="D5" i="13"/>
  <c r="C5" i="13" s="1"/>
  <c r="L247" i="1"/>
  <c r="J634" i="1"/>
  <c r="L362" i="1"/>
  <c r="G635" i="1" s="1"/>
  <c r="J635" i="1" s="1"/>
  <c r="G661" i="1"/>
  <c r="D29" i="13"/>
  <c r="C29" i="13" s="1"/>
  <c r="H661" i="1"/>
  <c r="J625" i="1"/>
  <c r="I52" i="1"/>
  <c r="H620" i="1" s="1"/>
  <c r="J620" i="1" s="1"/>
  <c r="J624" i="1"/>
  <c r="E31" i="2"/>
  <c r="H52" i="1"/>
  <c r="H619" i="1" s="1"/>
  <c r="J619" i="1" s="1"/>
  <c r="J623" i="1"/>
  <c r="D31" i="2"/>
  <c r="D51" i="2" s="1"/>
  <c r="D18" i="2"/>
  <c r="J622" i="1"/>
  <c r="J617" i="1"/>
  <c r="C18" i="2"/>
  <c r="J639" i="1"/>
  <c r="D63" i="2"/>
  <c r="K500" i="1"/>
  <c r="D145" i="2"/>
  <c r="C78" i="2"/>
  <c r="C81" i="2" s="1"/>
  <c r="L211" i="1"/>
  <c r="E109" i="2"/>
  <c r="E115" i="2" s="1"/>
  <c r="G81" i="2"/>
  <c r="C62" i="2"/>
  <c r="C63" i="2" s="1"/>
  <c r="F661" i="1"/>
  <c r="C19" i="10"/>
  <c r="C15" i="10"/>
  <c r="G112" i="1"/>
  <c r="F660" i="1"/>
  <c r="K503" i="1"/>
  <c r="L544" i="1"/>
  <c r="L524" i="1"/>
  <c r="J338" i="1"/>
  <c r="J352" i="1" s="1"/>
  <c r="C124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D103" i="2"/>
  <c r="I140" i="1"/>
  <c r="I193" i="1" s="1"/>
  <c r="G630" i="1" s="1"/>
  <c r="J630" i="1" s="1"/>
  <c r="A22" i="12"/>
  <c r="G50" i="2"/>
  <c r="J652" i="1"/>
  <c r="J642" i="1"/>
  <c r="G571" i="1"/>
  <c r="I434" i="1"/>
  <c r="G434" i="1"/>
  <c r="I663" i="1"/>
  <c r="C27" i="10"/>
  <c r="F51" i="2" l="1"/>
  <c r="G51" i="2"/>
  <c r="H646" i="1"/>
  <c r="E128" i="2"/>
  <c r="E145" i="2" s="1"/>
  <c r="H660" i="1"/>
  <c r="I660" i="1" s="1"/>
  <c r="F104" i="2"/>
  <c r="D104" i="2"/>
  <c r="C104" i="2"/>
  <c r="H33" i="13"/>
  <c r="C128" i="2"/>
  <c r="C145" i="2" s="1"/>
  <c r="H648" i="1"/>
  <c r="J648" i="1" s="1"/>
  <c r="L257" i="1"/>
  <c r="L271" i="1" s="1"/>
  <c r="G632" i="1" s="1"/>
  <c r="J632" i="1" s="1"/>
  <c r="F664" i="1"/>
  <c r="F667" i="1" s="1"/>
  <c r="G667" i="1"/>
  <c r="I661" i="1"/>
  <c r="E51" i="2"/>
  <c r="D31" i="13"/>
  <c r="C31" i="13" s="1"/>
  <c r="C28" i="10"/>
  <c r="D19" i="10" s="1"/>
  <c r="G104" i="2"/>
  <c r="L545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64" i="1" l="1"/>
  <c r="H667" i="1" s="1"/>
  <c r="I664" i="1"/>
  <c r="I672" i="1" s="1"/>
  <c r="C7" i="10" s="1"/>
  <c r="D33" i="13"/>
  <c r="D36" i="13" s="1"/>
  <c r="F672" i="1"/>
  <c r="C4" i="10" s="1"/>
  <c r="D12" i="10"/>
  <c r="D23" i="10"/>
  <c r="D10" i="10"/>
  <c r="D11" i="10"/>
  <c r="D13" i="10"/>
  <c r="D17" i="10"/>
  <c r="D16" i="10"/>
  <c r="D18" i="10"/>
  <c r="C30" i="10"/>
  <c r="D22" i="10"/>
  <c r="D27" i="10"/>
  <c r="D26" i="10"/>
  <c r="D21" i="10"/>
  <c r="D24" i="10"/>
  <c r="D20" i="10"/>
  <c r="D15" i="10"/>
  <c r="D25" i="10"/>
  <c r="H656" i="1"/>
  <c r="C41" i="10"/>
  <c r="D38" i="10" s="1"/>
  <c r="H672" i="1" l="1"/>
  <c r="C6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<sst xmlns="http://schemas.openxmlformats.org/spreadsheetml/2006/main" count="3961" uniqueCount="916">
  <si>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</si>
  <si>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</si>
  <si>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</si>
  <si>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</si>
  <si>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</si>
  <si>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</si>
  <si>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</si>
  <si>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</si>
  <si>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</si>
  <si>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</si>
  <si>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</si>
  <si>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</si>
  <si>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</si>
  <si>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</si>
  <si>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</si>
  <si>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</si>
  <si>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</si>
  <si>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</si>
  <si>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</si>
  <si>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</si>
  <si>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</si>
  <si>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</si>
  <si>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</si>
  <si>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</si>
  <si>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</si>
  <si>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</si>
  <si>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</si>
  <si>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</si>
  <si>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</si>
  <si>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</si>
  <si>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</si>
  <si>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</si>
  <si>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</si>
  <si>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</si>
  <si>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</si>
  <si>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</si>
  <si>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</si>
  <si>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</si>
  <si>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</si>
  <si>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</si>
  <si>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</si>
  <si>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</si>
  <si>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</si>
  <si>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</si>
  <si>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</si>
  <si>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</si>
  <si>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</si>
  <si>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</si>
  <si>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</si>
  <si>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</si>
  <si>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</si>
  <si>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</si>
  <si>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</si>
  <si>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</si>
  <si>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</si>
  <si>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</si>
  <si>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</si>
  <si>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</si>
  <si>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</si>
  <si>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</si>
  <si>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</si>
  <si>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</si>
  <si>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</si>
  <si>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</si>
  <si>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</si>
  <si>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</si>
  <si>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</si>
  <si>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</si>
  <si>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</si>
  <si>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</si>
  <si>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</si>
  <si>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</si>
  <si>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</si>
  <si>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</si>
  <si>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</si>
  <si>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</si>
  <si>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</si>
  <si>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</si>
  <si>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</si>
  <si>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</si>
  <si>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</si>
  <si>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</si>
  <si>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</si>
  <si>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</si>
  <si>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</si>
  <si>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</si>
  <si>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</si>
  <si>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</si>
  <si>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</si>
  <si>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</si>
  <si>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</si>
  <si>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</si>
  <si>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</si>
  <si>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</si>
  <si>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</si>
  <si>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</si>
  <si>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</si>
  <si>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</si>
  <si>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</si>
  <si>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</si>
  <si>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</si>
  <si>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</si>
  <si>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</si>
  <si>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</si>
  <si>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</si>
  <si>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</si>
  <si>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</si>
  <si>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</si>
  <si>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</si>
  <si>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</si>
  <si>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</si>
  <si>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</si>
  <si>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</si>
  <si>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</si>
  <si>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</si>
  <si>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</si>
  <si>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</si>
  <si>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</si>
  <si>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</si>
  <si>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</si>
  <si>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</si>
  <si>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</si>
  <si>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</si>
  <si>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</si>
  <si>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</si>
  <si>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</si>
  <si>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</si>
  <si>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</si>
  <si>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</si>
  <si>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</si>
  <si>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</si>
  <si>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</si>
  <si>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</si>
  <si>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</si>
  <si>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</si>
  <si>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</si>
  <si>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</si>
  <si>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</si>
  <si>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</si>
  <si>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</si>
  <si>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</si>
  <si>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</si>
  <si>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</si>
  <si>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</si>
  <si>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</si>
  <si>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</si>
  <si>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</si>
  <si>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</si>
  <si>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</si>
  <si>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</si>
  <si>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</si>
  <si>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</si>
  <si>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</si>
  <si>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</si>
  <si>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</si>
  <si>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</si>
  <si>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</si>
  <si>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</si>
  <si>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</si>
  <si>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</si>
  <si>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</si>
  <si>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</si>
  <si>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</si>
  <si>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</si>
  <si>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</si>
  <si>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</si>
  <si>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</si>
  <si>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</si>
  <si>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</si>
  <si>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</si>
  <si>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</si>
  <si>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</si>
  <si>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</si>
  <si>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</si>
  <si>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</si>
  <si>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</si>
  <si>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</si>
  <si>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</si>
  <si>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</si>
  <si>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</si>
  <si>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</si>
  <si>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</si>
  <si>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</si>
  <si>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</si>
  <si>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</si>
  <si>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</si>
  <si>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</si>
  <si>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</si>
  <si>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</si>
  <si>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</si>
  <si>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</si>
  <si>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</si>
  <si>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</si>
  <si>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</si>
  <si>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</si>
  <si>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</si>
  <si>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</si>
  <si>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</si>
  <si>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</si>
  <si>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</si>
  <si>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</si>
  <si>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</si>
  <si>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</si>
  <si>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</si>
  <si>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</si>
  <si>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</si>
  <si>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</si>
  <si>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</si>
  <si>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</si>
  <si>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</si>
  <si>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</si>
  <si>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</si>
  <si>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</si>
  <si>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</si>
  <si>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</si>
  <si>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</si>
  <si>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</si>
  <si>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</si>
  <si>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</si>
  <si>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</si>
  <si>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</si>
  <si>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</si>
  <si>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</si>
  <si>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</si>
  <si>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</si>
  <si>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</si>
  <si>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</si>
  <si>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</si>
  <si>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</si>
  <si>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</si>
  <si>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</si>
  <si>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</si>
  <si>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</si>
  <si>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</si>
  <si>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</si>
  <si>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</si>
  <si>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</si>
  <si>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</si>
  <si>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</si>
  <si>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</si>
  <si>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</si>
  <si>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</si>
  <si>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</si>
  <si>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</si>
  <si>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</si>
  <si>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</si>
  <si>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</si>
  <si>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</si>
  <si>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</si>
  <si>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</si>
  <si>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</si>
  <si>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</si>
  <si>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</si>
  <si>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</si>
  <si>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</si>
  <si>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</si>
  <si>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</si>
  <si>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</si>
  <si>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</si>
  <si>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</si>
  <si>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</si>
  <si>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</si>
  <si>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</si>
  <si>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</si>
  <si>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</si>
  <si>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</si>
  <si>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</si>
  <si>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</si>
  <si>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</si>
  <si>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</si>
  <si>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</si>
  <si>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</si>
  <si>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</si>
  <si>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</si>
  <si>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</si>
  <si>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</si>
  <si>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</si>
  <si>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</si>
  <si>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</si>
  <si>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</si>
  <si>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</si>
  <si>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</si>
  <si>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</si>
  <si>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</si>
  <si>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</si>
  <si>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</si>
  <si>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</si>
  <si>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</si>
  <si>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</si>
  <si>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</si>
  <si>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</si>
  <si>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</si>
  <si>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</si>
  <si>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</si>
  <si>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</si>
  <si>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</si>
  <si>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</si>
  <si>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</si>
  <si>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</si>
  <si>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</si>
  <si>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</si>
  <si>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</si>
  <si>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</si>
  <si>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</si>
  <si>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</si>
  <si>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</si>
  <si>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</si>
  <si>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</si>
  <si>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</si>
  <si>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</si>
  <si>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</si>
  <si>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</si>
  <si>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</si>
  <si>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</si>
  <si>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</si>
  <si>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</si>
  <si>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</si>
  <si>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</si>
  <si>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</si>
  <si>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</si>
  <si>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</si>
  <si>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</si>
  <si>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</si>
  <si>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</si>
  <si>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</si>
  <si>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</si>
  <si>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</si>
  <si>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</si>
  <si>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</si>
  <si>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</si>
  <si>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</si>
  <si>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</si>
  <si>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</si>
  <si>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</si>
  <si>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</si>
  <si>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</si>
  <si>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</si>
  <si>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</si>
  <si>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</si>
  <si>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</si>
  <si>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</si>
  <si>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</si>
  <si>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</si>
  <si>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</si>
  <si>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</si>
  <si>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</si>
  <si>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</si>
  <si>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</si>
  <si>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</si>
  <si>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</si>
  <si>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</si>
  <si>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</si>
  <si>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</si>
  <si>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</si>
  <si>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</si>
  <si>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</si>
  <si>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</si>
  <si>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</si>
  <si>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</si>
  <si>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</si>
  <si>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</si>
  <si>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</si>
  <si>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</si>
  <si>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</si>
  <si>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</si>
  <si>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</si>
  <si>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</si>
  <si>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</si>
  <si>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</si>
  <si>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</si>
  <si>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</si>
  <si>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</si>
  <si>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</si>
  <si>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</si>
  <si>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</si>
  <si>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</si>
  <si>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</si>
  <si>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</si>
  <si>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</si>
  <si>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</si>
  <si>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</si>
  <si>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</si>
  <si>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</si>
  <si>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</si>
  <si>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</si>
  <si>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</si>
  <si>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</si>
  <si>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</si>
  <si>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</si>
  <si>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</si>
  <si>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</si>
  <si>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</si>
  <si>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</si>
  <si>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</si>
  <si>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</si>
  <si>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</si>
  <si>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</si>
  <si>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</si>
  <si>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</si>
  <si>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</si>
  <si>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</si>
  <si>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</si>
  <si>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</si>
  <si>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</si>
  <si>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</si>
  <si>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</si>
  <si>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</si>
  <si>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</si>
  <si>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</si>
  <si>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</si>
  <si>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</si>
  <si>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</si>
  <si>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</si>
  <si>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</si>
  <si>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</si>
  <si>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</si>
  <si>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</si>
  <si>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</si>
  <si>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</si>
  <si>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</si>
  <si>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</si>
  <si>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</si>
  <si>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</si>
  <si>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</si>
  <si>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</si>
  <si>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</si>
  <si>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</si>
  <si>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</si>
  <si>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</si>
  <si>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</si>
  <si>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</si>
  <si>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</si>
  <si>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</si>
  <si>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</si>
  <si>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</si>
  <si>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</si>
  <si>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</si>
  <si>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</si>
  <si>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</si>
  <si>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</si>
  <si>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</si>
  <si>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</si>
  <si>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</si>
  <si>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</si>
  <si>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</si>
  <si>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</si>
  <si>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</si>
  <si>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</si>
  <si>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</si>
  <si>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</si>
  <si>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</si>
  <si>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</si>
  <si>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</si>
  <si>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</si>
  <si>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</si>
  <si>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</si>
  <si>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</si>
  <si>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</si>
  <si>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</si>
  <si>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</si>
  <si>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</si>
  <si>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</si>
  <si>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</si>
  <si>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</si>
  <si>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</si>
  <si>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</si>
  <si>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</si>
  <si>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</si>
  <si>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</si>
  <si>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</si>
  <si>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</si>
  <si>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</si>
  <si>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</si>
  <si>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</si>
  <si>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</si>
  <si>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</si>
  <si>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</si>
  <si>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</si>
  <si>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</si>
  <si>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</si>
  <si>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</si>
  <si>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</si>
  <si>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</si>
  <si>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</si>
  <si>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</si>
  <si>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</si>
  <si>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</si>
  <si>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</si>
  <si>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</si>
  <si>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</si>
  <si>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</si>
  <si>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</si>
  <si>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</si>
  <si>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</si>
  <si>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</si>
  <si>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</si>
  <si>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</si>
  <si>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</si>
  <si>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</si>
  <si>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</si>
  <si>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</si>
  <si>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</si>
  <si>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</si>
  <si>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</si>
  <si>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</si>
  <si>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</si>
  <si>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</si>
  <si>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</si>
  <si>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</si>
  <si>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</si>
  <si>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</si>
  <si>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</si>
  <si>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</si>
  <si>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</si>
  <si>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</si>
  <si>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</si>
  <si>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</si>
  <si>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</si>
  <si>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</si>
  <si>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</si>
  <si>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</si>
  <si>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</si>
  <si>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</si>
  <si>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</si>
  <si>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</si>
  <si>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</si>
  <si>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</si>
  <si>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</si>
  <si>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</si>
  <si>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</si>
  <si>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</si>
  <si>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</si>
  <si>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</si>
  <si>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</si>
  <si>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</si>
  <si>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</si>
  <si>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</si>
  <si>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</si>
  <si>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</si>
  <si>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</si>
  <si>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</si>
  <si>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</si>
  <si>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</si>
  <si>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</si>
  <si>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</si>
  <si>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</si>
  <si>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</si>
  <si>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</si>
  <si>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</si>
  <si>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</si>
  <si>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</si>
  <si>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</si>
  <si>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</si>
  <si>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</si>
  <si>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</si>
  <si>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</si>
  <si>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</si>
  <si>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</si>
  <si>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</si>
  <si>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</si>
  <si>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</si>
  <si>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</si>
  <si>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</si>
  <si>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</si>
  <si>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</si>
  <si>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</si>
  <si>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</si>
  <si>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</si>
  <si>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</si>
  <si>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</si>
  <si>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</si>
  <si>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</si>
  <si>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</si>
  <si>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</si>
  <si>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</si>
  <si>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</si>
  <si>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</si>
  <si>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</si>
  <si>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</si>
  <si>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</si>
  <si>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</si>
  <si>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</si>
  <si>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</si>
  <si>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</si>
  <si>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</si>
  <si>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</si>
  <si>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</si>
  <si>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</si>
  <si>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</si>
  <si>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</si>
  <si>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</si>
  <si>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</si>
  <si>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</si>
  <si>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</si>
  <si>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</si>
  <si>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</si>
  <si>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</si>
  <si>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</si>
  <si>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</si>
  <si>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</si>
  <si>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</si>
  <si>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</si>
  <si>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</si>
  <si>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</si>
  <si>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</si>
  <si>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</si>
  <si>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</si>
  <si>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</si>
  <si>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</si>
  <si>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</si>
  <si>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</si>
  <si>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</si>
  <si>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</si>
  <si>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</si>
  <si>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</si>
  <si>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</si>
  <si>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</si>
  <si>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</si>
  <si>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</si>
  <si>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</si>
  <si>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</si>
  <si>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</si>
  <si>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</si>
  <si>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</si>
  <si>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</si>
  <si>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</si>
  <si>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</si>
  <si>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</si>
  <si>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</si>
  <si>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</si>
  <si>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</si>
  <si>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</si>
  <si>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</si>
  <si>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</si>
  <si>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</si>
  <si>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</si>
  <si>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</si>
  <si>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</si>
  <si>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</si>
  <si>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</si>
  <si>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</si>
  <si>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</si>
  <si>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</si>
  <si>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</si>
  <si>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</si>
  <si>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</si>
  <si>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</si>
  <si>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</si>
  <si>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</si>
  <si>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</si>
  <si>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</si>
  <si>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</si>
  <si>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</si>
  <si>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</si>
  <si>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</si>
  <si>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</si>
  <si>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</si>
  <si>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</si>
  <si>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</si>
  <si>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</si>
  <si>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</si>
  <si>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</si>
  <si>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</si>
  <si>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</si>
  <si>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</si>
  <si>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</si>
  <si>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</si>
  <si>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</si>
  <si>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</si>
  <si>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</si>
  <si>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</si>
  <si>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</si>
  <si>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</si>
  <si>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</si>
  <si>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</si>
  <si>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</si>
  <si>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</si>
  <si>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</si>
  <si>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</si>
  <si>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</si>
  <si>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</si>
  <si>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</si>
  <si>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</si>
  <si>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</si>
  <si>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</si>
  <si>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</si>
  <si>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</si>
  <si>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</si>
  <si>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</si>
  <si>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</si>
  <si>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</si>
  <si>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</si>
  <si>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</si>
  <si>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</si>
  <si>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</si>
  <si>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</si>
  <si>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</si>
  <si>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</si>
  <si>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</si>
  <si>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</si>
  <si>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</si>
  <si>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</si>
  <si>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</si>
  <si>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</si>
  <si>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</si>
  <si>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</si>
  <si>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</si>
  <si>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</si>
  <si>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</si>
  <si>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</si>
  <si>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</si>
  <si>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</si>
  <si>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</si>
  <si>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</si>
  <si>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</si>
  <si>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</si>
  <si>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</si>
  <si>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</si>
  <si>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</si>
  <si>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</si>
  <si>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</si>
  <si>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</si>
  <si>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</si>
  <si>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</si>
  <si>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</si>
  <si>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</si>
  <si>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</si>
  <si>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</si>
  <si>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</si>
  <si>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</si>
  <si>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</si>
  <si>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</si>
  <si>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</si>
  <si>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</si>
  <si>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</si>
  <si>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</si>
  <si>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</si>
  <si>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</si>
  <si>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</si>
  <si>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</si>
  <si>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</si>
  <si>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</si>
  <si>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</si>
  <si>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</si>
  <si>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</si>
  <si>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</si>
  <si>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</si>
  <si>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</si>
  <si>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</si>
  <si>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</si>
  <si>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</si>
  <si>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</si>
  <si>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</si>
  <si>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</si>
  <si>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</si>
  <si>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</si>
  <si>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</si>
  <si>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</si>
  <si>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</si>
  <si>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</si>
  <si>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</si>
  <si>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</si>
  <si>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</si>
  <si>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</si>
  <si>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</si>
  <si>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</si>
  <si>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</si>
  <si>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</si>
  <si>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</si>
  <si>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</si>
  <si>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</si>
  <si>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</si>
  <si>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</si>
  <si>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</si>
  <si>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</si>
  <si>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</si>
  <si>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</si>
  <si>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</si>
  <si>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</si>
  <si>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</si>
  <si>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</si>
  <si>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</si>
  <si>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</si>
  <si>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</si>
  <si>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</si>
  <si>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</si>
  <si>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</si>
  <si>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</si>
  <si>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</si>
  <si>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</si>
  <si>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</si>
  <si>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</si>
  <si>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</si>
  <si>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</si>
  <si>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</si>
  <si>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</si>
  <si>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</si>
  <si>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</si>
  <si>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</si>
  <si>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</si>
  <si>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</si>
  <si>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</si>
  <si>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</si>
  <si>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</si>
  <si>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</si>
  <si>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</si>
  <si>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</si>
  <si>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</si>
  <si>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</si>
  <si>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</si>
  <si>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</si>
  <si>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</si>
  <si>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</si>
  <si>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</si>
  <si>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</si>
  <si>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</si>
  <si>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</si>
  <si>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</si>
  <si>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</si>
  <si>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</si>
  <si>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</si>
  <si>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</si>
  <si>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</si>
  <si>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</si>
  <si>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</si>
  <si>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</si>
  <si>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</si>
  <si>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</si>
  <si>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</si>
  <si>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</si>
  <si>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</si>
  <si>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</si>
  <si>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</si>
  <si>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</si>
  <si>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</si>
  <si>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</si>
  <si>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</si>
  <si>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</si>
  <si>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</si>
  <si>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</si>
  <si>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</si>
  <si>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</si>
  <si>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</si>
  <si>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</si>
  <si>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</si>
  <si>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</si>
  <si>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</si>
  <si>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</si>
  <si>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</si>
  <si>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</si>
  <si>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</si>
  <si>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</si>
  <si>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</si>
  <si>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</si>
  <si>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</si>
  <si>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</si>
  <si>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</si>
  <si>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</si>
  <si>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</si>
  <si>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</si>
  <si>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</si>
  <si>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</si>
  <si>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</si>
  <si>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</si>
  <si>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</si>
  <si>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</si>
  <si>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</si>
  <si>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</si>
  <si>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</si>
  <si>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</si>
  <si>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</si>
  <si>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</si>
  <si>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</si>
  <si>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</si>
  <si>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</si>
  <si>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</si>
  <si>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</si>
  <si>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</si>
  <si>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</si>
  <si>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</si>
  <si>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</si>
  <si>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</si>
  <si>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</si>
  <si>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</si>
  <si>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</si>
  <si>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</si>
  <si>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</si>
  <si>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</si>
  <si>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</si>
  <si>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</si>
  <si>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</si>
  <si>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</si>
  <si>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</si>
  <si>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</si>
  <si>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</si>
  <si>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</si>
  <si>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</si>
  <si>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</si>
  <si>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</si>
  <si>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</si>
  <si>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</si>
  <si>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</si>
  <si>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</si>
  <si>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</si>
  <si>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</si>
  <si>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</si>
  <si>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</si>
  <si>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</si>
  <si>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</si>
  <si>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</si>
  <si>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</si>
  <si>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</si>
  <si>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Souhegan Cooperative School District</t>
  </si>
  <si>
    <t>Agency Funds</t>
  </si>
  <si>
    <t>07/13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</si>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</sst>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/>
      <c r="C2" s="21"/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-535142.35+313657.35</f>
        <v>-221485</v>
      </c>
      <c r="G9" s="18">
        <v>0</v>
      </c>
      <c r="H9" s="18">
        <v>21414.720000000001</v>
      </c>
      <c r="I9" s="18">
        <v>8040.63</v>
      </c>
      <c r="J9" s="67">
        <f>SUM(I439)</f>
        <v>237181.49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1435606.54</v>
      </c>
      <c r="G10" s="18">
        <v>0</v>
      </c>
      <c r="H10" s="18">
        <v>0</v>
      </c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99130.5</v>
      </c>
      <c r="G12" s="18">
        <v>959.33</v>
      </c>
      <c r="H12" s="18"/>
      <c r="I12" s="18"/>
      <c r="J12" s="67">
        <f>SUM(I441)</f>
        <v>1139.32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31432.77+5436.08</f>
        <v>36868.85</v>
      </c>
      <c r="G13" s="18">
        <v>15807.31</v>
      </c>
      <c r="H13" s="18">
        <v>109956.27</v>
      </c>
      <c r="I13" s="18"/>
      <c r="J13" s="67">
        <f>SUM(I442)</f>
        <v>598647.56000000006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308.55</v>
      </c>
      <c r="G14" s="18">
        <v>201.98</v>
      </c>
      <c r="H14" s="18">
        <v>0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1350429.4400000002</v>
      </c>
      <c r="G19" s="41">
        <f>SUM(G9:G18)</f>
        <v>16968.62</v>
      </c>
      <c r="H19" s="41">
        <f>SUM(H9:H18)</f>
        <v>131370.99</v>
      </c>
      <c r="I19" s="41">
        <f>SUM(I9:I18)</f>
        <v>8040.63</v>
      </c>
      <c r="J19" s="41">
        <f>SUM(J9:J18)</f>
        <v>836968.37000000011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/>
      <c r="H22" s="18">
        <f>101179.15</f>
        <v>101179.15</v>
      </c>
      <c r="I22" s="18">
        <v>50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13453.76</v>
      </c>
      <c r="G23" s="18">
        <v>0</v>
      </c>
      <c r="H23" s="18">
        <v>0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640466.91</f>
        <v>640466.91</v>
      </c>
      <c r="G24" s="18">
        <v>2551.0700000000002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67838.820000000007</v>
      </c>
      <c r="G28" s="18">
        <v>0</v>
      </c>
      <c r="H28" s="18">
        <v>0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13299.28</v>
      </c>
      <c r="G29" s="18">
        <v>0</v>
      </c>
      <c r="H29" s="18">
        <v>0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4072.15</v>
      </c>
      <c r="G30" s="18">
        <v>14417.55</v>
      </c>
      <c r="H30" s="18">
        <v>8777.1200000000008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/>
      <c r="J31" s="67">
        <f>SUM(I451)</f>
        <v>237181.49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739130.92</v>
      </c>
      <c r="G32" s="41">
        <f>SUM(G22:G31)</f>
        <v>16968.62</v>
      </c>
      <c r="H32" s="41">
        <f>SUM(H22:H31)</f>
        <v>109956.26999999999</v>
      </c>
      <c r="I32" s="41">
        <f>SUM(I22:I31)</f>
        <v>50</v>
      </c>
      <c r="J32" s="41">
        <f>SUM(J22:J31)</f>
        <v>237181.49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0</v>
      </c>
      <c r="H48" s="18">
        <f>8901.27+12513.45</f>
        <v>21414.720000000001</v>
      </c>
      <c r="I48" s="18">
        <f>10973.41-2982.78</f>
        <v>7990.6299999999992</v>
      </c>
      <c r="J48" s="13">
        <f>SUM(I459)</f>
        <v>599786.88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664959.85+65000-118661.33</f>
        <v>611298.52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611298.52</v>
      </c>
      <c r="G51" s="41">
        <f>SUM(G35:G50)</f>
        <v>0</v>
      </c>
      <c r="H51" s="41">
        <f>SUM(H35:H50)</f>
        <v>21414.720000000001</v>
      </c>
      <c r="I51" s="41">
        <f>SUM(I35:I50)</f>
        <v>7990.6299999999992</v>
      </c>
      <c r="J51" s="41">
        <f>SUM(J35:J50)</f>
        <v>599786.88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1350429.44</v>
      </c>
      <c r="G52" s="41">
        <f>G51+G32</f>
        <v>16968.62</v>
      </c>
      <c r="H52" s="41">
        <f>H51+H32</f>
        <v>131370.99</v>
      </c>
      <c r="I52" s="41">
        <f>I51+I32</f>
        <v>8040.6299999999992</v>
      </c>
      <c r="J52" s="41">
        <f>J51+J32</f>
        <v>836968.37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12874657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12874657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53752.34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6100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21901.4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81753.739999999991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6891.21</v>
      </c>
      <c r="G96" s="18"/>
      <c r="H96" s="18"/>
      <c r="I96" s="18">
        <v>6.67</v>
      </c>
      <c r="J96" s="18">
        <v>26716.79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358122.15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125347.39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4136.5</v>
      </c>
      <c r="G101" s="18"/>
      <c r="H101" s="18">
        <v>12513.45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/>
      <c r="H102" s="18">
        <v>13362.66</v>
      </c>
      <c r="I102" s="18">
        <v>17493.55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>
        <v>0</v>
      </c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8133.45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25174.76</v>
      </c>
      <c r="G109" s="18">
        <v>90.74</v>
      </c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712.15</v>
      </c>
      <c r="G110" s="18">
        <v>946.86</v>
      </c>
      <c r="H110" s="18"/>
      <c r="I110" s="18"/>
      <c r="J110" s="18">
        <v>5650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170395.46000000002</v>
      </c>
      <c r="G111" s="41">
        <f>SUM(G96:G110)</f>
        <v>359159.75</v>
      </c>
      <c r="H111" s="41">
        <f>SUM(H96:H110)</f>
        <v>25876.11</v>
      </c>
      <c r="I111" s="41">
        <f>SUM(I96:I110)</f>
        <v>17500.219999999998</v>
      </c>
      <c r="J111" s="41">
        <f>SUM(J96:J110)</f>
        <v>32366.79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13126806.200000001</v>
      </c>
      <c r="G112" s="41">
        <f>G60+G111</f>
        <v>359159.75</v>
      </c>
      <c r="H112" s="41">
        <f>H60+H79+H94+H111</f>
        <v>25876.11</v>
      </c>
      <c r="I112" s="41">
        <f>I60+I111</f>
        <v>17500.219999999998</v>
      </c>
      <c r="J112" s="41">
        <f>J60+J111</f>
        <v>32366.79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1701381.48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1641829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0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3343210.48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305229.55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4395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894.39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309624.55</v>
      </c>
      <c r="G136" s="41">
        <f>SUM(G123:G135)</f>
        <v>894.39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3652835.03</v>
      </c>
      <c r="G140" s="41">
        <f>G121+SUM(G136:G137)</f>
        <v>894.39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47441.83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15311.44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17389.75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183124.33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73292.009999999995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73292.009999999995</v>
      </c>
      <c r="G162" s="41">
        <f>SUM(G150:G161)</f>
        <v>17389.75</v>
      </c>
      <c r="H162" s="41">
        <f>SUM(H150:H161)</f>
        <v>245877.59999999998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73292.009999999995</v>
      </c>
      <c r="G169" s="41">
        <f>G147+G162+SUM(G163:G168)</f>
        <v>17389.75</v>
      </c>
      <c r="H169" s="41">
        <f>H147+H162+SUM(H163:H168)</f>
        <v>245877.59999999998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5704</v>
      </c>
      <c r="H179" s="18"/>
      <c r="I179" s="18"/>
      <c r="J179" s="18">
        <v>65000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5704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5704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16852933.240000002</v>
      </c>
      <c r="G193" s="47">
        <f>G112+G140+G169+G192</f>
        <v>383147.89</v>
      </c>
      <c r="H193" s="47">
        <f>H112+H140+H169+H192</f>
        <v>271753.70999999996</v>
      </c>
      <c r="I193" s="47">
        <f>I112+I140+I169+I192</f>
        <v>17500.219999999998</v>
      </c>
      <c r="J193" s="47">
        <f>J112+J140+J192</f>
        <v>97366.790000000008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4728304.0599999996</v>
      </c>
      <c r="G233" s="18">
        <v>2095191.33</v>
      </c>
      <c r="H233" s="18">
        <v>11639.86</v>
      </c>
      <c r="I233" s="18">
        <v>130584.66</v>
      </c>
      <c r="J233" s="18">
        <v>142806.49</v>
      </c>
      <c r="K233" s="18">
        <v>1319</v>
      </c>
      <c r="L233" s="19">
        <f>SUM(F233:K233)</f>
        <v>7109845.4000000004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1267036.8</v>
      </c>
      <c r="G234" s="18">
        <v>619691.91</v>
      </c>
      <c r="H234" s="18">
        <v>388482.48</v>
      </c>
      <c r="I234" s="18">
        <v>5276</v>
      </c>
      <c r="J234" s="18">
        <v>3013.28</v>
      </c>
      <c r="K234" s="18">
        <v>0</v>
      </c>
      <c r="L234" s="19">
        <f>SUM(F234:K234)</f>
        <v>2283500.4699999997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12302.44</v>
      </c>
      <c r="I235" s="18"/>
      <c r="J235" s="18"/>
      <c r="K235" s="18"/>
      <c r="L235" s="19">
        <f>SUM(F235:K235)</f>
        <v>12302.44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328655.02</v>
      </c>
      <c r="G236" s="18">
        <v>75196.05</v>
      </c>
      <c r="H236" s="18">
        <v>140642.93</v>
      </c>
      <c r="I236" s="18">
        <v>47356.43</v>
      </c>
      <c r="J236" s="18">
        <v>43482.43</v>
      </c>
      <c r="K236" s="18">
        <v>28948.5</v>
      </c>
      <c r="L236" s="19">
        <f>SUM(F236:K236)</f>
        <v>664281.3600000001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925618.86</v>
      </c>
      <c r="G238" s="18">
        <v>404640.8</v>
      </c>
      <c r="H238" s="18">
        <v>399937.51</v>
      </c>
      <c r="I238" s="18">
        <v>10085.08</v>
      </c>
      <c r="J238" s="18">
        <v>0</v>
      </c>
      <c r="K238" s="18">
        <v>1320</v>
      </c>
      <c r="L238" s="19">
        <f t="shared" ref="L238:L244" si="4">SUM(F238:K238)</f>
        <v>1741602.25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283137.08</v>
      </c>
      <c r="G239" s="18">
        <v>179941.3</v>
      </c>
      <c r="H239" s="18">
        <v>3261.98</v>
      </c>
      <c r="I239" s="18">
        <v>57279.32</v>
      </c>
      <c r="J239" s="18">
        <v>0</v>
      </c>
      <c r="K239" s="18">
        <v>321</v>
      </c>
      <c r="L239" s="19">
        <f t="shared" si="4"/>
        <v>523940.68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11394.87</v>
      </c>
      <c r="G240" s="18">
        <v>934.65</v>
      </c>
      <c r="H240" s="18">
        <v>865364.52</v>
      </c>
      <c r="I240" s="18">
        <v>83.81</v>
      </c>
      <c r="J240" s="18">
        <v>0</v>
      </c>
      <c r="K240" s="18">
        <v>5045.88</v>
      </c>
      <c r="L240" s="19">
        <f t="shared" si="4"/>
        <v>882823.7300000001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487199.18</v>
      </c>
      <c r="G241" s="18">
        <v>197503.26</v>
      </c>
      <c r="H241" s="18">
        <v>41358.480000000003</v>
      </c>
      <c r="I241" s="18">
        <v>19570.849999999999</v>
      </c>
      <c r="J241" s="18">
        <v>2098.9899999999998</v>
      </c>
      <c r="K241" s="18">
        <v>16067.78</v>
      </c>
      <c r="L241" s="19">
        <f t="shared" si="4"/>
        <v>763798.53999999992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2179.25</v>
      </c>
      <c r="I242" s="18">
        <v>0</v>
      </c>
      <c r="J242" s="18">
        <v>0</v>
      </c>
      <c r="K242" s="18">
        <v>0</v>
      </c>
      <c r="L242" s="19">
        <f t="shared" si="4"/>
        <v>2179.25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358188.18</v>
      </c>
      <c r="G243" s="18">
        <v>181478.54</v>
      </c>
      <c r="H243" s="18">
        <v>697121.66</v>
      </c>
      <c r="I243" s="18">
        <v>312226.40999999997</v>
      </c>
      <c r="J243" s="18">
        <v>69364.11</v>
      </c>
      <c r="K243" s="18">
        <v>0</v>
      </c>
      <c r="L243" s="19">
        <f t="shared" si="4"/>
        <v>1618378.9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663181.39</v>
      </c>
      <c r="I244" s="18">
        <v>163.41</v>
      </c>
      <c r="J244" s="18">
        <v>0</v>
      </c>
      <c r="K244" s="18">
        <v>0</v>
      </c>
      <c r="L244" s="19">
        <f t="shared" si="4"/>
        <v>663344.80000000005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182782.75</v>
      </c>
      <c r="G245" s="18">
        <v>70022.89</v>
      </c>
      <c r="H245" s="18">
        <v>40480.69</v>
      </c>
      <c r="I245" s="18">
        <v>43647.74</v>
      </c>
      <c r="J245" s="18">
        <v>113741.18</v>
      </c>
      <c r="K245" s="18">
        <v>0</v>
      </c>
      <c r="L245" s="19">
        <f>SUM(F245:K245)</f>
        <v>450675.25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8572316.7999999989</v>
      </c>
      <c r="G247" s="41">
        <f t="shared" si="5"/>
        <v>3824600.73</v>
      </c>
      <c r="H247" s="41">
        <f t="shared" si="5"/>
        <v>3265953.19</v>
      </c>
      <c r="I247" s="41">
        <f t="shared" si="5"/>
        <v>626273.71</v>
      </c>
      <c r="J247" s="41">
        <f t="shared" si="5"/>
        <v>374506.48</v>
      </c>
      <c r="K247" s="41">
        <f t="shared" si="5"/>
        <v>53022.159999999996</v>
      </c>
      <c r="L247" s="41">
        <f t="shared" si="5"/>
        <v>16716673.07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>
        <v>0</v>
      </c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8572316.7999999989</v>
      </c>
      <c r="G257" s="41">
        <f t="shared" si="8"/>
        <v>3824600.73</v>
      </c>
      <c r="H257" s="41">
        <f t="shared" si="8"/>
        <v>3265953.19</v>
      </c>
      <c r="I257" s="41">
        <f t="shared" si="8"/>
        <v>626273.71</v>
      </c>
      <c r="J257" s="41">
        <f t="shared" si="8"/>
        <v>374506.48</v>
      </c>
      <c r="K257" s="41">
        <f t="shared" si="8"/>
        <v>53022.159999999996</v>
      </c>
      <c r="L257" s="41">
        <f t="shared" si="8"/>
        <v>16716673.07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155000</v>
      </c>
      <c r="L260" s="19">
        <f>SUM(F260:K260)</f>
        <v>155000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29217.5</v>
      </c>
      <c r="L261" s="19">
        <f>SUM(F261:K261)</f>
        <v>29217.5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5704</v>
      </c>
      <c r="L263" s="19">
        <f>SUM(F263:K263)</f>
        <v>5704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65000</v>
      </c>
      <c r="L266" s="19">
        <f t="shared" si="9"/>
        <v>65000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254921.5</v>
      </c>
      <c r="L270" s="41">
        <f t="shared" si="9"/>
        <v>254921.5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8572316.7999999989</v>
      </c>
      <c r="G271" s="42">
        <f t="shared" si="11"/>
        <v>3824600.73</v>
      </c>
      <c r="H271" s="42">
        <f t="shared" si="11"/>
        <v>3265953.19</v>
      </c>
      <c r="I271" s="42">
        <f t="shared" si="11"/>
        <v>626273.71</v>
      </c>
      <c r="J271" s="42">
        <f t="shared" si="11"/>
        <v>374506.48</v>
      </c>
      <c r="K271" s="42">
        <f t="shared" si="11"/>
        <v>307943.65999999997</v>
      </c>
      <c r="L271" s="42">
        <f t="shared" si="11"/>
        <v>16971594.57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1015</v>
      </c>
      <c r="G314" s="18">
        <v>253.84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1268.8399999999999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142644.07999999999</v>
      </c>
      <c r="G315" s="18">
        <v>34810.18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177454.25999999998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15679.82</v>
      </c>
      <c r="G317" s="18">
        <v>3330.49</v>
      </c>
      <c r="H317" s="18">
        <v>1350</v>
      </c>
      <c r="I317" s="18">
        <v>2995.03</v>
      </c>
      <c r="J317" s="18">
        <v>12603.41</v>
      </c>
      <c r="K317" s="18">
        <v>0</v>
      </c>
      <c r="L317" s="19">
        <f>SUM(F317:K317)</f>
        <v>35958.75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2500</v>
      </c>
      <c r="G319" s="18">
        <v>563.25</v>
      </c>
      <c r="H319" s="18">
        <v>5670.07</v>
      </c>
      <c r="I319" s="18">
        <v>961.24</v>
      </c>
      <c r="J319" s="18">
        <v>0</v>
      </c>
      <c r="K319" s="18">
        <v>0</v>
      </c>
      <c r="L319" s="19">
        <f t="shared" ref="L319:L325" si="16">SUM(F319:K319)</f>
        <v>9694.56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14000</v>
      </c>
      <c r="G320" s="18">
        <v>3337.98</v>
      </c>
      <c r="H320" s="18">
        <v>6652.44</v>
      </c>
      <c r="I320" s="18">
        <v>0</v>
      </c>
      <c r="J320" s="18">
        <v>0</v>
      </c>
      <c r="K320" s="18">
        <v>0</v>
      </c>
      <c r="L320" s="19">
        <f t="shared" si="16"/>
        <v>23990.42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499</v>
      </c>
      <c r="I322" s="18">
        <v>0</v>
      </c>
      <c r="J322" s="18">
        <v>0</v>
      </c>
      <c r="K322" s="18">
        <v>0</v>
      </c>
      <c r="L322" s="19">
        <f t="shared" si="16"/>
        <v>499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8280.36</v>
      </c>
      <c r="G326" s="18">
        <v>1982.15</v>
      </c>
      <c r="H326" s="18">
        <v>111.92</v>
      </c>
      <c r="I326" s="18">
        <v>0</v>
      </c>
      <c r="J326" s="18">
        <v>0</v>
      </c>
      <c r="K326" s="18">
        <v>0</v>
      </c>
      <c r="L326" s="19">
        <f>SUM(F326:K326)</f>
        <v>10374.43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184119.26</v>
      </c>
      <c r="G328" s="42">
        <f t="shared" si="17"/>
        <v>44277.89</v>
      </c>
      <c r="H328" s="42">
        <f t="shared" si="17"/>
        <v>14283.429999999998</v>
      </c>
      <c r="I328" s="42">
        <f t="shared" si="17"/>
        <v>3956.2700000000004</v>
      </c>
      <c r="J328" s="42">
        <f t="shared" si="17"/>
        <v>12603.41</v>
      </c>
      <c r="K328" s="42">
        <f t="shared" si="17"/>
        <v>0</v>
      </c>
      <c r="L328" s="41">
        <f t="shared" si="17"/>
        <v>259240.25999999995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184119.26</v>
      </c>
      <c r="G338" s="41">
        <f t="shared" si="20"/>
        <v>44277.89</v>
      </c>
      <c r="H338" s="41">
        <f t="shared" si="20"/>
        <v>14283.429999999998</v>
      </c>
      <c r="I338" s="41">
        <f t="shared" si="20"/>
        <v>3956.2700000000004</v>
      </c>
      <c r="J338" s="41">
        <f t="shared" si="20"/>
        <v>12603.41</v>
      </c>
      <c r="K338" s="41">
        <f t="shared" si="20"/>
        <v>0</v>
      </c>
      <c r="L338" s="41">
        <f t="shared" si="20"/>
        <v>259240.25999999995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184119.26</v>
      </c>
      <c r="G352" s="41">
        <f>G338</f>
        <v>44277.89</v>
      </c>
      <c r="H352" s="41">
        <f>H338</f>
        <v>14283.429999999998</v>
      </c>
      <c r="I352" s="41">
        <f>I338</f>
        <v>3956.2700000000004</v>
      </c>
      <c r="J352" s="41">
        <f>J338</f>
        <v>12603.41</v>
      </c>
      <c r="K352" s="47">
        <f>K338+K351</f>
        <v>0</v>
      </c>
      <c r="L352" s="41">
        <f>L338+L351</f>
        <v>259240.25999999995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165934.81</v>
      </c>
      <c r="G360" s="18">
        <v>83678.91</v>
      </c>
      <c r="H360" s="18">
        <v>1122</v>
      </c>
      <c r="I360" s="18">
        <v>132316.12</v>
      </c>
      <c r="J360" s="18">
        <v>0</v>
      </c>
      <c r="K360" s="18">
        <v>96.05</v>
      </c>
      <c r="L360" s="19">
        <f>SUM(F360:K360)</f>
        <v>383147.88999999996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165934.81</v>
      </c>
      <c r="G362" s="47">
        <f t="shared" si="22"/>
        <v>83678.91</v>
      </c>
      <c r="H362" s="47">
        <f t="shared" si="22"/>
        <v>1122</v>
      </c>
      <c r="I362" s="47">
        <f t="shared" si="22"/>
        <v>132316.12</v>
      </c>
      <c r="J362" s="47">
        <f t="shared" si="22"/>
        <v>0</v>
      </c>
      <c r="K362" s="47">
        <f t="shared" si="22"/>
        <v>96.05</v>
      </c>
      <c r="L362" s="47">
        <f t="shared" si="22"/>
        <v>383147.88999999996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>
        <v>121663.33</v>
      </c>
      <c r="I367" s="56">
        <f>SUM(F367:H367)</f>
        <v>121663.33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>
        <v>10652.79</v>
      </c>
      <c r="I368" s="56">
        <f>SUM(F368:H368)</f>
        <v>10652.79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132316.12</v>
      </c>
      <c r="I369" s="47">
        <f>SUM(I367:I368)</f>
        <v>132316.12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>
        <v>20483</v>
      </c>
      <c r="I375" s="18"/>
      <c r="J375" s="18"/>
      <c r="K375" s="18"/>
      <c r="L375" s="13">
        <f t="shared" ref="L375:L381" si="23">SUM(F375:K375)</f>
        <v>20483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20483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20483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65000</v>
      </c>
      <c r="H396" s="18">
        <v>2656.68</v>
      </c>
      <c r="I396" s="18"/>
      <c r="J396" s="24" t="s">
        <v>286</v>
      </c>
      <c r="K396" s="24" t="s">
        <v>286</v>
      </c>
      <c r="L396" s="56">
        <f t="shared" si="26"/>
        <v>67656.679999999993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f>16655.81+6799</f>
        <v>23454.81</v>
      </c>
      <c r="I397" s="18"/>
      <c r="J397" s="24" t="s">
        <v>286</v>
      </c>
      <c r="K397" s="24" t="s">
        <v>286</v>
      </c>
      <c r="L397" s="56">
        <f t="shared" si="26"/>
        <v>23454.81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605.29999999999995</v>
      </c>
      <c r="I400" s="18"/>
      <c r="J400" s="24" t="s">
        <v>286</v>
      </c>
      <c r="K400" s="24" t="s">
        <v>286</v>
      </c>
      <c r="L400" s="56">
        <f t="shared" si="26"/>
        <v>605.29999999999995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26716.79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91716.79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 t="s">
        <v>913</v>
      </c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>
        <f>500+5150</f>
        <v>5650</v>
      </c>
      <c r="J403" s="24" t="s">
        <v>286</v>
      </c>
      <c r="K403" s="24" t="s">
        <v>286</v>
      </c>
      <c r="L403" s="56">
        <f>SUM(F403:K403)</f>
        <v>5650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5650</v>
      </c>
      <c r="J407" s="49" t="s">
        <v>286</v>
      </c>
      <c r="K407" s="49" t="s">
        <v>286</v>
      </c>
      <c r="L407" s="47">
        <f>SUM(L403:L406)</f>
        <v>5650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26716.79</v>
      </c>
      <c r="I408" s="47">
        <f>I393+I401+I407</f>
        <v>5650</v>
      </c>
      <c r="J408" s="24" t="s">
        <v>286</v>
      </c>
      <c r="K408" s="24" t="s">
        <v>286</v>
      </c>
      <c r="L408" s="47">
        <f>L393+L401+L407</f>
        <v>97366.79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 t="s">
        <v>913</v>
      </c>
      <c r="B429" s="6">
        <v>17</v>
      </c>
      <c r="C429" s="6">
        <v>15</v>
      </c>
      <c r="D429" s="2" t="s">
        <v>430</v>
      </c>
      <c r="E429" s="6"/>
      <c r="F429" s="18">
        <f>3600+500</f>
        <v>4100</v>
      </c>
      <c r="G429" s="18">
        <f>31+7.25+50.56+624.96+111.6</f>
        <v>825.37</v>
      </c>
      <c r="H429" s="18"/>
      <c r="I429" s="18"/>
      <c r="J429" s="18"/>
      <c r="K429" s="18"/>
      <c r="L429" s="56">
        <f>SUM(F429:K429)</f>
        <v>4925.37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4100</v>
      </c>
      <c r="G433" s="47">
        <f t="shared" si="31"/>
        <v>825.37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4925.37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4100</v>
      </c>
      <c r="G434" s="47">
        <f t="shared" si="32"/>
        <v>825.37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4925.37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>
        <f>231116.3+6065.19</f>
        <v>237181.49</v>
      </c>
      <c r="I439" s="56">
        <f t="shared" ref="I439:I445" si="33">SUM(F439:H439)</f>
        <v>237181.49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>
        <v>1139.32</v>
      </c>
      <c r="I441" s="56">
        <f t="shared" si="33"/>
        <v>1139.32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f>598647.56</f>
        <v>598647.56000000006</v>
      </c>
      <c r="H442" s="18"/>
      <c r="I442" s="56">
        <f t="shared" si="33"/>
        <v>598647.56000000006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598647.56000000006</v>
      </c>
      <c r="H446" s="13">
        <f>SUM(H439:H445)</f>
        <v>238320.81</v>
      </c>
      <c r="I446" s="13">
        <f>SUM(I439:I445)</f>
        <v>836968.37000000011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>
        <f>231116.3+6065.19</f>
        <v>237181.49</v>
      </c>
      <c r="I451" s="56">
        <f>SUM(F451:H451)</f>
        <v>237181.49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237181.49</v>
      </c>
      <c r="I452" s="72">
        <f>SUM(I448:I451)</f>
        <v>237181.49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f>506930.77+91716.79</f>
        <v>598647.56000000006</v>
      </c>
      <c r="H459" s="18">
        <f>414.69+724.63</f>
        <v>1139.32</v>
      </c>
      <c r="I459" s="56">
        <f t="shared" si="34"/>
        <v>599786.88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598647.56000000006</v>
      </c>
      <c r="H460" s="83">
        <f>SUM(H454:H459)</f>
        <v>1139.32</v>
      </c>
      <c r="I460" s="83">
        <f>SUM(I454:I459)</f>
        <v>599786.88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598647.56000000006</v>
      </c>
      <c r="H461" s="42">
        <f>H452+H460</f>
        <v>238320.81</v>
      </c>
      <c r="I461" s="42">
        <f>I452+I460</f>
        <v>836968.37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729960.19-0.34</f>
        <v>729959.85</v>
      </c>
      <c r="G465" s="18">
        <v>0</v>
      </c>
      <c r="H465" s="18">
        <v>8901.27</v>
      </c>
      <c r="I465" s="18">
        <v>10973.41</v>
      </c>
      <c r="J465" s="18">
        <v>507345.46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16852933.240000002</v>
      </c>
      <c r="G468" s="18">
        <f t="shared" ref="G468:J468" si="35">G193</f>
        <v>383147.89</v>
      </c>
      <c r="H468" s="18">
        <f t="shared" si="35"/>
        <v>271753.70999999996</v>
      </c>
      <c r="I468" s="18">
        <f t="shared" si="35"/>
        <v>17500.219999999998</v>
      </c>
      <c r="J468" s="18">
        <f t="shared" si="35"/>
        <v>97366.790000000008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16852933.240000002</v>
      </c>
      <c r="G470" s="53">
        <f>SUM(G468:G469)</f>
        <v>383147.89</v>
      </c>
      <c r="H470" s="53">
        <f>SUM(H468:H469)</f>
        <v>271753.70999999996</v>
      </c>
      <c r="I470" s="53">
        <f>SUM(I468:I469)</f>
        <v>17500.219999999998</v>
      </c>
      <c r="J470" s="53">
        <f>SUM(J468:J469)</f>
        <v>97366.790000000008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16971594.57</v>
      </c>
      <c r="G472" s="18">
        <f>L362</f>
        <v>383147.88999999996</v>
      </c>
      <c r="H472" s="18">
        <f>L352</f>
        <v>259240.25999999995</v>
      </c>
      <c r="I472" s="18">
        <f>L382</f>
        <v>20483</v>
      </c>
      <c r="J472" s="18">
        <f>L434</f>
        <v>4925.37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16971594.57</v>
      </c>
      <c r="G474" s="53">
        <f>SUM(G472:G473)</f>
        <v>383147.88999999996</v>
      </c>
      <c r="H474" s="53">
        <f>SUM(H472:H473)</f>
        <v>259240.25999999995</v>
      </c>
      <c r="I474" s="53">
        <f>SUM(I472:I473)</f>
        <v>20483</v>
      </c>
      <c r="J474" s="53">
        <f>SUM(J472:J473)</f>
        <v>4925.37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611298.52000000328</v>
      </c>
      <c r="G476" s="53">
        <f>(G465+G470)- G474</f>
        <v>0</v>
      </c>
      <c r="H476" s="53">
        <f>(H465+H470)- H474</f>
        <v>21414.72000000003</v>
      </c>
      <c r="I476" s="53">
        <f>(I465+I470)- I474</f>
        <v>7990.6299999999974</v>
      </c>
      <c r="J476" s="53">
        <f>(J465+J470)- J474</f>
        <v>599786.88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7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914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1090000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2.14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620000</v>
      </c>
      <c r="G495" s="18"/>
      <c r="H495" s="18"/>
      <c r="I495" s="18"/>
      <c r="J495" s="18"/>
      <c r="K495" s="53">
        <f>SUM(F495:J495)</f>
        <v>620000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155000</v>
      </c>
      <c r="G497" s="18"/>
      <c r="H497" s="18"/>
      <c r="I497" s="18"/>
      <c r="J497" s="18"/>
      <c r="K497" s="53">
        <f t="shared" si="36"/>
        <v>155000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465000</v>
      </c>
      <c r="G498" s="204"/>
      <c r="H498" s="204"/>
      <c r="I498" s="204"/>
      <c r="J498" s="204"/>
      <c r="K498" s="205">
        <f t="shared" si="36"/>
        <v>465000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66145.25-29217.5</f>
        <v>36927.75</v>
      </c>
      <c r="G499" s="18"/>
      <c r="H499" s="18"/>
      <c r="I499" s="18"/>
      <c r="J499" s="18"/>
      <c r="K499" s="53">
        <f t="shared" si="36"/>
        <v>36927.75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501927.75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501927.75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155000</v>
      </c>
      <c r="G501" s="204"/>
      <c r="H501" s="204"/>
      <c r="I501" s="204"/>
      <c r="J501" s="204"/>
      <c r="K501" s="205">
        <f t="shared" si="36"/>
        <v>155000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12438.75+8098.75</f>
        <v>20537.5</v>
      </c>
      <c r="G502" s="18"/>
      <c r="H502" s="18"/>
      <c r="I502" s="18"/>
      <c r="J502" s="18"/>
      <c r="K502" s="53">
        <f t="shared" si="36"/>
        <v>20537.5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175537.5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175537.5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1409680.88</v>
      </c>
      <c r="G523" s="18">
        <v>654502.09</v>
      </c>
      <c r="H523" s="18">
        <v>388482.48</v>
      </c>
      <c r="I523" s="18">
        <v>5276</v>
      </c>
      <c r="J523" s="18">
        <v>3013.28</v>
      </c>
      <c r="K523" s="18">
        <v>0</v>
      </c>
      <c r="L523" s="88">
        <f>SUM(F523:K523)</f>
        <v>2460954.7299999995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1409680.88</v>
      </c>
      <c r="G524" s="108">
        <f t="shared" ref="G524:L524" si="37">SUM(G521:G523)</f>
        <v>654502.09</v>
      </c>
      <c r="H524" s="108">
        <f t="shared" si="37"/>
        <v>388482.48</v>
      </c>
      <c r="I524" s="108">
        <f t="shared" si="37"/>
        <v>5276</v>
      </c>
      <c r="J524" s="108">
        <f t="shared" si="37"/>
        <v>3013.28</v>
      </c>
      <c r="K524" s="108">
        <f t="shared" si="37"/>
        <v>0</v>
      </c>
      <c r="L524" s="89">
        <f t="shared" si="37"/>
        <v>2460954.7299999995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229354.92</v>
      </c>
      <c r="G528" s="18">
        <v>111251.58</v>
      </c>
      <c r="H528" s="18">
        <v>345171.63</v>
      </c>
      <c r="I528" s="18">
        <v>296.12</v>
      </c>
      <c r="J528" s="18">
        <v>0</v>
      </c>
      <c r="K528" s="18">
        <v>0</v>
      </c>
      <c r="L528" s="88">
        <f>SUM(F528:K528)</f>
        <v>686074.25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229354.92</v>
      </c>
      <c r="G529" s="89">
        <f t="shared" ref="G529:L529" si="38">SUM(G526:G528)</f>
        <v>111251.58</v>
      </c>
      <c r="H529" s="89">
        <f t="shared" si="38"/>
        <v>345171.63</v>
      </c>
      <c r="I529" s="89">
        <f t="shared" si="38"/>
        <v>296.12</v>
      </c>
      <c r="J529" s="89">
        <f t="shared" si="38"/>
        <v>0</v>
      </c>
      <c r="K529" s="89">
        <f t="shared" si="38"/>
        <v>0</v>
      </c>
      <c r="L529" s="89">
        <f t="shared" si="38"/>
        <v>686074.25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6499.33</v>
      </c>
      <c r="I533" s="18"/>
      <c r="J533" s="18"/>
      <c r="K533" s="18"/>
      <c r="L533" s="88">
        <f>SUM(F533:K533)</f>
        <v>6499.33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6499.33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6499.33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18382.53</v>
      </c>
      <c r="I538" s="18"/>
      <c r="J538" s="18"/>
      <c r="K538" s="18"/>
      <c r="L538" s="88">
        <f>SUM(F538:K538)</f>
        <v>18382.53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18382.53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18382.53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223373.88</v>
      </c>
      <c r="I543" s="18">
        <v>163.41</v>
      </c>
      <c r="J543" s="18"/>
      <c r="K543" s="18"/>
      <c r="L543" s="88">
        <f>SUM(F543:K543)</f>
        <v>223537.29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223373.88</v>
      </c>
      <c r="I544" s="193">
        <f t="shared" si="41"/>
        <v>163.41</v>
      </c>
      <c r="J544" s="193">
        <f t="shared" si="41"/>
        <v>0</v>
      </c>
      <c r="K544" s="193">
        <f t="shared" si="41"/>
        <v>0</v>
      </c>
      <c r="L544" s="193">
        <f t="shared" si="41"/>
        <v>223537.29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1639035.7999999998</v>
      </c>
      <c r="G545" s="89">
        <f t="shared" ref="G545:L545" si="42">G524+G529+G534+G539+G544</f>
        <v>765753.66999999993</v>
      </c>
      <c r="H545" s="89">
        <f t="shared" si="42"/>
        <v>981909.85</v>
      </c>
      <c r="I545" s="89">
        <f t="shared" si="42"/>
        <v>5735.53</v>
      </c>
      <c r="J545" s="89">
        <f t="shared" si="42"/>
        <v>3013.28</v>
      </c>
      <c r="K545" s="89">
        <f t="shared" si="42"/>
        <v>0</v>
      </c>
      <c r="L545" s="89">
        <f t="shared" si="42"/>
        <v>3395448.1299999994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2460954.7299999995</v>
      </c>
      <c r="G551" s="87">
        <f>L528</f>
        <v>686074.25</v>
      </c>
      <c r="H551" s="87">
        <f>L533</f>
        <v>6499.33</v>
      </c>
      <c r="I551" s="87">
        <f>L538</f>
        <v>18382.53</v>
      </c>
      <c r="J551" s="87">
        <f>L543</f>
        <v>223537.29</v>
      </c>
      <c r="K551" s="87">
        <f>SUM(F551:J551)</f>
        <v>3395448.1299999994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2460954.7299999995</v>
      </c>
      <c r="G552" s="89">
        <f t="shared" si="43"/>
        <v>686074.25</v>
      </c>
      <c r="H552" s="89">
        <f t="shared" si="43"/>
        <v>6499.33</v>
      </c>
      <c r="I552" s="89">
        <f t="shared" si="43"/>
        <v>18382.53</v>
      </c>
      <c r="J552" s="89">
        <f t="shared" si="43"/>
        <v>223537.29</v>
      </c>
      <c r="K552" s="89">
        <f t="shared" si="43"/>
        <v>3395448.1299999994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40140</v>
      </c>
      <c r="I579" s="87">
        <f t="shared" si="48"/>
        <v>40140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332515.58</v>
      </c>
      <c r="I582" s="87">
        <f t="shared" si="48"/>
        <v>332515.58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7065.45</v>
      </c>
      <c r="I583" s="87">
        <f t="shared" si="48"/>
        <v>7065.45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12302.44</v>
      </c>
      <c r="I584" s="87">
        <f t="shared" si="48"/>
        <v>12302.44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>
        <v>254218.76</v>
      </c>
      <c r="K591" s="104">
        <f t="shared" ref="K591:K597" si="49">SUM(H591:J591)</f>
        <v>254218.76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>
        <v>222788.14</v>
      </c>
      <c r="K592" s="104">
        <f t="shared" si="49"/>
        <v>222788.14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69056.5</v>
      </c>
      <c r="K593" s="104">
        <f t="shared" si="49"/>
        <v>69056.5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107939.1</v>
      </c>
      <c r="K594" s="104">
        <f t="shared" si="49"/>
        <v>107939.1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8593.15</v>
      </c>
      <c r="K595" s="104">
        <f t="shared" si="49"/>
        <v>8593.15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>
        <f>585.74+163.41</f>
        <v>749.15</v>
      </c>
      <c r="K596" s="104">
        <f t="shared" si="49"/>
        <v>749.15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663344.80000000005</v>
      </c>
      <c r="K598" s="108">
        <f>SUM(K591:K597)</f>
        <v>663344.80000000005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>
        <v>387109.89</v>
      </c>
      <c r="K604" s="104">
        <f>SUM(H604:J604)</f>
        <v>387109.89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387109.89</v>
      </c>
      <c r="K605" s="108">
        <f>SUM(K602:K604)</f>
        <v>387109.89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3454.82+12225+13750</f>
        <v>29429.82</v>
      </c>
      <c r="G613" s="18">
        <f>227.39+408.74+2122.26+572.1+55.8+199.4+2230.76+497.03</f>
        <v>6313.4800000000005</v>
      </c>
      <c r="H613" s="18">
        <f>1350</f>
        <v>1350</v>
      </c>
      <c r="I613" s="18">
        <f>875.74+1093.24+1026.05</f>
        <v>2995.0299999999997</v>
      </c>
      <c r="J613" s="18">
        <v>12603.41</v>
      </c>
      <c r="K613" s="18"/>
      <c r="L613" s="88">
        <f>SUM(F613:K613)</f>
        <v>52691.740000000005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29429.82</v>
      </c>
      <c r="G614" s="108">
        <f t="shared" si="50"/>
        <v>6313.4800000000005</v>
      </c>
      <c r="H614" s="108">
        <f t="shared" si="50"/>
        <v>1350</v>
      </c>
      <c r="I614" s="108">
        <f t="shared" si="50"/>
        <v>2995.0299999999997</v>
      </c>
      <c r="J614" s="108">
        <f t="shared" si="50"/>
        <v>12603.41</v>
      </c>
      <c r="K614" s="108">
        <f t="shared" si="50"/>
        <v>0</v>
      </c>
      <c r="L614" s="89">
        <f t="shared" si="50"/>
        <v>52691.740000000005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1350429.4400000002</v>
      </c>
      <c r="H617" s="109">
        <f>SUM(F52)</f>
        <v>1350429.44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16968.62</v>
      </c>
      <c r="H618" s="109">
        <f>SUM(G52)</f>
        <v>16968.62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131370.99</v>
      </c>
      <c r="H619" s="109">
        <f>SUM(H52)</f>
        <v>131370.99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8040.63</v>
      </c>
      <c r="H620" s="109">
        <f>SUM(I52)</f>
        <v>8040.6299999999992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836968.37000000011</v>
      </c>
      <c r="H621" s="109">
        <f>SUM(J52)</f>
        <v>836968.37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611298.52</v>
      </c>
      <c r="H622" s="109">
        <f>F476</f>
        <v>611298.52000000328</v>
      </c>
      <c r="I622" s="121" t="s">
        <v>101</v>
      </c>
      <c r="J622" s="109">
        <f t="shared" ref="J622:J655" si="51">G622-H622</f>
        <v>-3.2596290111541748E-9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21414.720000000001</v>
      </c>
      <c r="H624" s="109">
        <f>H476</f>
        <v>21414.72000000003</v>
      </c>
      <c r="I624" s="121" t="s">
        <v>103</v>
      </c>
      <c r="J624" s="109">
        <f t="shared" si="51"/>
        <v>-2.9103830456733704E-11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7990.6299999999992</v>
      </c>
      <c r="H625" s="109">
        <f>I476</f>
        <v>7990.6299999999974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599786.88</v>
      </c>
      <c r="H626" s="109">
        <f>J476</f>
        <v>599786.88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16852933.240000002</v>
      </c>
      <c r="H627" s="104">
        <f>SUM(F468)</f>
        <v>16852933.240000002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383147.89</v>
      </c>
      <c r="H628" s="104">
        <f>SUM(G468)</f>
        <v>383147.89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271753.70999999996</v>
      </c>
      <c r="H629" s="104">
        <f>SUM(H468)</f>
        <v>271753.70999999996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17500.219999999998</v>
      </c>
      <c r="H630" s="104">
        <f>SUM(I468)</f>
        <v>17500.219999999998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97366.790000000008</v>
      </c>
      <c r="H631" s="104">
        <f>SUM(J468)</f>
        <v>97366.790000000008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16971594.57</v>
      </c>
      <c r="H632" s="104">
        <f>SUM(F472)</f>
        <v>16971594.57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259240.25999999995</v>
      </c>
      <c r="H633" s="104">
        <f>SUM(H472)</f>
        <v>259240.25999999995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132316.12</v>
      </c>
      <c r="H634" s="104">
        <f>I369</f>
        <v>132316.12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383147.88999999996</v>
      </c>
      <c r="H635" s="104">
        <f>SUM(G472)</f>
        <v>383147.88999999996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20483</v>
      </c>
      <c r="H636" s="104">
        <f>SUM(I472)</f>
        <v>20483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97366.79</v>
      </c>
      <c r="H637" s="164">
        <f>SUM(J468)</f>
        <v>97366.790000000008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4925.37</v>
      </c>
      <c r="H638" s="164">
        <f>SUM(J472)</f>
        <v>4925.37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598647.56000000006</v>
      </c>
      <c r="H640" s="104">
        <f>SUM(G461)</f>
        <v>598647.56000000006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238320.81</v>
      </c>
      <c r="H641" s="104">
        <f>SUM(H461)</f>
        <v>238320.81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836968.37000000011</v>
      </c>
      <c r="H642" s="104">
        <f>SUM(I461)</f>
        <v>836968.37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26716.79</v>
      </c>
      <c r="H644" s="104">
        <f>H408</f>
        <v>26716.79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65000</v>
      </c>
      <c r="H645" s="104">
        <f>G408</f>
        <v>65000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97366.790000000008</v>
      </c>
      <c r="H646" s="104">
        <f>L408</f>
        <v>97366.79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663344.80000000005</v>
      </c>
      <c r="H647" s="104">
        <f>L208+L226+L244</f>
        <v>663344.80000000005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387109.89</v>
      </c>
      <c r="H648" s="104">
        <f>(J257+J338)-(J255+J336)</f>
        <v>387109.88999999996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663344.80000000005</v>
      </c>
      <c r="H651" s="104">
        <f>J598</f>
        <v>663344.80000000005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5704</v>
      </c>
      <c r="H652" s="104">
        <f>K263+K345</f>
        <v>5704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65000</v>
      </c>
      <c r="H655" s="104">
        <f>K266+K347</f>
        <v>65000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17359061.220000003</v>
      </c>
      <c r="I660" s="19">
        <f>SUM(F660:H660)</f>
        <v>17359061.220000003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359159.75</v>
      </c>
      <c r="I661" s="19">
        <f>SUM(F661:H661)</f>
        <v>359159.75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663344.80000000005</v>
      </c>
      <c r="I662" s="19">
        <f>SUM(F662:H662)</f>
        <v>663344.80000000005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831825.10000000009</v>
      </c>
      <c r="I663" s="19">
        <f>SUM(F663:H663)</f>
        <v>831825.10000000009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15504731.570000002</v>
      </c>
      <c r="I664" s="19">
        <f>I660-SUM(I661:I663)</f>
        <v>15504731.570000002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>
        <v>786.41</v>
      </c>
      <c r="I665" s="19">
        <f>SUM(F665:H665)</f>
        <v>786.41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19715.84</v>
      </c>
      <c r="I667" s="19">
        <f>ROUND(I664/I665,2)</f>
        <v>19715.84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-2.99</v>
      </c>
      <c r="I670" s="19">
        <f>SUM(F670:H670)</f>
        <v>-2.99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19791.080000000002</v>
      </c>
      <c r="I672" s="19">
        <f>ROUND((I664+I669)/(I665+I670),2)</f>
        <v>19791.080000000002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Souhegan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4729319.0599999996</v>
      </c>
      <c r="C9" s="229">
        <f>'DOE25'!G197+'DOE25'!G215+'DOE25'!G233+'DOE25'!G276+'DOE25'!G295+'DOE25'!G314</f>
        <v>2095445.1700000002</v>
      </c>
    </row>
    <row r="10" spans="1:3" x14ac:dyDescent="0.2">
      <c r="A10" t="s">
        <v>773</v>
      </c>
      <c r="B10" s="240">
        <f>4507060.32+14508.68</f>
        <v>4521569</v>
      </c>
      <c r="C10" s="240">
        <v>2003396.22</v>
      </c>
    </row>
    <row r="11" spans="1:3" x14ac:dyDescent="0.2">
      <c r="A11" t="s">
        <v>774</v>
      </c>
      <c r="B11" s="240">
        <v>39839.29</v>
      </c>
      <c r="C11" s="240">
        <v>17651.810000000001</v>
      </c>
    </row>
    <row r="12" spans="1:3" x14ac:dyDescent="0.2">
      <c r="A12" t="s">
        <v>775</v>
      </c>
      <c r="B12" s="240">
        <v>167910.77</v>
      </c>
      <c r="C12" s="240">
        <v>74397.14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4729319.0599999996</v>
      </c>
      <c r="C13" s="231">
        <f>SUM(C10:C12)</f>
        <v>2095445.17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1409680.8800000001</v>
      </c>
      <c r="C18" s="229">
        <f>'DOE25'!G198+'DOE25'!G216+'DOE25'!G234+'DOE25'!G277+'DOE25'!G296+'DOE25'!G315</f>
        <v>654502.09000000008</v>
      </c>
    </row>
    <row r="19" spans="1:3" x14ac:dyDescent="0.2">
      <c r="A19" t="s">
        <v>773</v>
      </c>
      <c r="B19" s="240">
        <f>858798.64+1814.73</f>
        <v>860613.37</v>
      </c>
      <c r="C19" s="240">
        <v>399575.01</v>
      </c>
    </row>
    <row r="20" spans="1:3" x14ac:dyDescent="0.2">
      <c r="A20" t="s">
        <v>774</v>
      </c>
      <c r="B20" s="240">
        <v>508027.07</v>
      </c>
      <c r="C20" s="240">
        <v>235872.37</v>
      </c>
    </row>
    <row r="21" spans="1:3" x14ac:dyDescent="0.2">
      <c r="A21" t="s">
        <v>775</v>
      </c>
      <c r="B21" s="240">
        <v>41040.44</v>
      </c>
      <c r="C21" s="240">
        <v>19054.71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1409680.88</v>
      </c>
      <c r="C22" s="231">
        <f>SUM(C19:C21)</f>
        <v>654502.09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344334.84</v>
      </c>
      <c r="C36" s="235">
        <f>'DOE25'!G200+'DOE25'!G218+'DOE25'!G236+'DOE25'!G279+'DOE25'!G298+'DOE25'!G317</f>
        <v>78526.540000000008</v>
      </c>
    </row>
    <row r="37" spans="1:3" x14ac:dyDescent="0.2">
      <c r="A37" t="s">
        <v>773</v>
      </c>
      <c r="B37" s="240">
        <v>65358.21</v>
      </c>
      <c r="C37" s="240">
        <v>14905.13</v>
      </c>
    </row>
    <row r="38" spans="1:3" x14ac:dyDescent="0.2">
      <c r="A38" t="s">
        <v>774</v>
      </c>
      <c r="B38" s="240">
        <v>9880.84</v>
      </c>
      <c r="C38" s="240">
        <v>2253.35</v>
      </c>
    </row>
    <row r="39" spans="1:3" x14ac:dyDescent="0.2">
      <c r="A39" t="s">
        <v>775</v>
      </c>
      <c r="B39" s="240">
        <f>266813.17+2282.62</f>
        <v>269095.78999999998</v>
      </c>
      <c r="C39" s="240">
        <v>61368.06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344334.83999999997</v>
      </c>
      <c r="C40" s="231">
        <f>SUM(C37:C39)</f>
        <v>78526.539999999994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Souhegan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10069929.67</v>
      </c>
      <c r="D5" s="20">
        <f>SUM('DOE25'!L197:L200)+SUM('DOE25'!L215:L218)+SUM('DOE25'!L233:L236)-F5-G5</f>
        <v>9850359.9700000007</v>
      </c>
      <c r="E5" s="243"/>
      <c r="F5" s="255">
        <f>SUM('DOE25'!J197:J200)+SUM('DOE25'!J215:J218)+SUM('DOE25'!J233:J236)</f>
        <v>189302.19999999998</v>
      </c>
      <c r="G5" s="53">
        <f>SUM('DOE25'!K197:K200)+SUM('DOE25'!K215:K218)+SUM('DOE25'!K233:K236)</f>
        <v>30267.5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1741602.25</v>
      </c>
      <c r="D6" s="20">
        <f>'DOE25'!L202+'DOE25'!L220+'DOE25'!L238-F6-G6</f>
        <v>1740282.25</v>
      </c>
      <c r="E6" s="243"/>
      <c r="F6" s="255">
        <f>'DOE25'!J202+'DOE25'!J220+'DOE25'!J238</f>
        <v>0</v>
      </c>
      <c r="G6" s="53">
        <f>'DOE25'!K202+'DOE25'!K220+'DOE25'!K238</f>
        <v>1320</v>
      </c>
      <c r="H6" s="259"/>
    </row>
    <row r="7" spans="1:9" x14ac:dyDescent="0.2">
      <c r="A7" s="32">
        <v>2200</v>
      </c>
      <c r="B7" t="s">
        <v>828</v>
      </c>
      <c r="C7" s="245">
        <f t="shared" si="0"/>
        <v>523940.68</v>
      </c>
      <c r="D7" s="20">
        <f>'DOE25'!L203+'DOE25'!L221+'DOE25'!L239-F7-G7</f>
        <v>523619.68</v>
      </c>
      <c r="E7" s="243"/>
      <c r="F7" s="255">
        <f>'DOE25'!J203+'DOE25'!J221+'DOE25'!J239</f>
        <v>0</v>
      </c>
      <c r="G7" s="53">
        <f>'DOE25'!K203+'DOE25'!K221+'DOE25'!K239</f>
        <v>321</v>
      </c>
      <c r="H7" s="259"/>
    </row>
    <row r="8" spans="1:9" x14ac:dyDescent="0.2">
      <c r="A8" s="32">
        <v>2300</v>
      </c>
      <c r="B8" t="s">
        <v>796</v>
      </c>
      <c r="C8" s="245">
        <f t="shared" si="0"/>
        <v>882823.7300000001</v>
      </c>
      <c r="D8" s="243"/>
      <c r="E8" s="20">
        <f>'DOE25'!L204+'DOE25'!L222+'DOE25'!L240-F8-G8-D9-D11</f>
        <v>877777.85000000009</v>
      </c>
      <c r="F8" s="255">
        <f>'DOE25'!J204+'DOE25'!J222+'DOE25'!J240</f>
        <v>0</v>
      </c>
      <c r="G8" s="53">
        <f>'DOE25'!K204+'DOE25'!K222+'DOE25'!K240</f>
        <v>5045.88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763798.53999999992</v>
      </c>
      <c r="D12" s="20">
        <f>'DOE25'!L205+'DOE25'!L223+'DOE25'!L241-F12-G12</f>
        <v>745631.7699999999</v>
      </c>
      <c r="E12" s="243"/>
      <c r="F12" s="255">
        <f>'DOE25'!J205+'DOE25'!J223+'DOE25'!J241</f>
        <v>2098.9899999999998</v>
      </c>
      <c r="G12" s="53">
        <f>'DOE25'!K205+'DOE25'!K223+'DOE25'!K241</f>
        <v>16067.78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2179.25</v>
      </c>
      <c r="D13" s="243"/>
      <c r="E13" s="20">
        <f>'DOE25'!L206+'DOE25'!L224+'DOE25'!L242-F13-G13</f>
        <v>2179.25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1618378.9</v>
      </c>
      <c r="D14" s="20">
        <f>'DOE25'!L207+'DOE25'!L225+'DOE25'!L243-F14-G14</f>
        <v>1549014.7899999998</v>
      </c>
      <c r="E14" s="243"/>
      <c r="F14" s="255">
        <f>'DOE25'!J207+'DOE25'!J225+'DOE25'!J243</f>
        <v>69364.11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663344.80000000005</v>
      </c>
      <c r="D15" s="20">
        <f>'DOE25'!L208+'DOE25'!L226+'DOE25'!L244-F15-G15</f>
        <v>663344.80000000005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450675.25</v>
      </c>
      <c r="D16" s="243"/>
      <c r="E16" s="20">
        <f>'DOE25'!L209+'DOE25'!L227+'DOE25'!L245-F16-G16</f>
        <v>336934.07</v>
      </c>
      <c r="F16" s="255">
        <f>'DOE25'!J209+'DOE25'!J227+'DOE25'!J245</f>
        <v>113741.18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184217.5</v>
      </c>
      <c r="D25" s="243"/>
      <c r="E25" s="243"/>
      <c r="F25" s="258"/>
      <c r="G25" s="256"/>
      <c r="H25" s="257">
        <f>'DOE25'!L260+'DOE25'!L261+'DOE25'!L341+'DOE25'!L342</f>
        <v>184217.5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261484.55999999994</v>
      </c>
      <c r="D29" s="20">
        <f>'DOE25'!L358+'DOE25'!L359+'DOE25'!L360-'DOE25'!I367-F29-G29</f>
        <v>261388.50999999995</v>
      </c>
      <c r="E29" s="243"/>
      <c r="F29" s="255">
        <f>'DOE25'!J358+'DOE25'!J359+'DOE25'!J360</f>
        <v>0</v>
      </c>
      <c r="G29" s="53">
        <f>'DOE25'!K358+'DOE25'!K359+'DOE25'!K360</f>
        <v>96.05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259240.25999999995</v>
      </c>
      <c r="D31" s="20">
        <f>'DOE25'!L290+'DOE25'!L309+'DOE25'!L328+'DOE25'!L333+'DOE25'!L334+'DOE25'!L335-F31-G31</f>
        <v>246636.84999999995</v>
      </c>
      <c r="E31" s="243"/>
      <c r="F31" s="255">
        <f>'DOE25'!J290+'DOE25'!J309+'DOE25'!J328+'DOE25'!J333+'DOE25'!J334+'DOE25'!J335</f>
        <v>12603.41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15580278.619999999</v>
      </c>
      <c r="E33" s="246">
        <f>SUM(E5:E31)</f>
        <v>1216891.1700000002</v>
      </c>
      <c r="F33" s="246">
        <f>SUM(F5:F31)</f>
        <v>387109.88999999996</v>
      </c>
      <c r="G33" s="246">
        <f>SUM(G5:G31)</f>
        <v>53118.21</v>
      </c>
      <c r="H33" s="246">
        <f>SUM(H5:H31)</f>
        <v>184217.5</v>
      </c>
    </row>
    <row r="35" spans="2:8" ht="12" thickBot="1" x14ac:dyDescent="0.25">
      <c r="B35" s="253" t="s">
        <v>841</v>
      </c>
      <c r="D35" s="254">
        <f>E33</f>
        <v>1216891.1700000002</v>
      </c>
      <c r="E35" s="249"/>
    </row>
    <row r="36" spans="2:8" ht="12" thickTop="1" x14ac:dyDescent="0.2">
      <c r="B36" t="s">
        <v>809</v>
      </c>
      <c r="D36" s="20">
        <f>D33</f>
        <v>15580278.619999999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-221485</v>
      </c>
      <c r="D8" s="95">
        <f>'DOE25'!G9</f>
        <v>0</v>
      </c>
      <c r="E8" s="95">
        <f>'DOE25'!H9</f>
        <v>21414.720000000001</v>
      </c>
      <c r="F8" s="95">
        <f>'DOE25'!I9</f>
        <v>8040.63</v>
      </c>
      <c r="G8" s="95">
        <f>'DOE25'!J9</f>
        <v>237181.49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1435606.54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99130.5</v>
      </c>
      <c r="D11" s="95">
        <f>'DOE25'!G12</f>
        <v>959.33</v>
      </c>
      <c r="E11" s="95">
        <f>'DOE25'!H12</f>
        <v>0</v>
      </c>
      <c r="F11" s="95">
        <f>'DOE25'!I12</f>
        <v>0</v>
      </c>
      <c r="G11" s="95">
        <f>'DOE25'!J12</f>
        <v>1139.32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36868.85</v>
      </c>
      <c r="D12" s="95">
        <f>'DOE25'!G13</f>
        <v>15807.31</v>
      </c>
      <c r="E12" s="95">
        <f>'DOE25'!H13</f>
        <v>109956.27</v>
      </c>
      <c r="F12" s="95">
        <f>'DOE25'!I13</f>
        <v>0</v>
      </c>
      <c r="G12" s="95">
        <f>'DOE25'!J13</f>
        <v>598647.56000000006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308.55</v>
      </c>
      <c r="D13" s="95">
        <f>'DOE25'!G14</f>
        <v>201.98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1350429.4400000002</v>
      </c>
      <c r="D18" s="41">
        <f>SUM(D8:D17)</f>
        <v>16968.62</v>
      </c>
      <c r="E18" s="41">
        <f>SUM(E8:E17)</f>
        <v>131370.99</v>
      </c>
      <c r="F18" s="41">
        <f>SUM(F8:F17)</f>
        <v>8040.63</v>
      </c>
      <c r="G18" s="41">
        <f>SUM(G8:G17)</f>
        <v>836968.37000000011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101179.15</v>
      </c>
      <c r="F21" s="95">
        <f>'DOE25'!I22</f>
        <v>50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13453.76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640466.91</v>
      </c>
      <c r="D23" s="95">
        <f>'DOE25'!G24</f>
        <v>2551.0700000000002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67838.820000000007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13299.28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4072.15</v>
      </c>
      <c r="D29" s="95">
        <f>'DOE25'!G30</f>
        <v>14417.55</v>
      </c>
      <c r="E29" s="95">
        <f>'DOE25'!H30</f>
        <v>8777.1200000000008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237181.49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739130.92</v>
      </c>
      <c r="D31" s="41">
        <f>SUM(D21:D30)</f>
        <v>16968.62</v>
      </c>
      <c r="E31" s="41">
        <f>SUM(E21:E30)</f>
        <v>109956.26999999999</v>
      </c>
      <c r="F31" s="41">
        <f>SUM(F21:F30)</f>
        <v>50</v>
      </c>
      <c r="G31" s="41">
        <f>SUM(G21:G30)</f>
        <v>237181.49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21414.720000000001</v>
      </c>
      <c r="F47" s="95">
        <f>'DOE25'!I48</f>
        <v>7990.6299999999992</v>
      </c>
      <c r="G47" s="95">
        <f>'DOE25'!J48</f>
        <v>599786.88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611298.52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611298.52</v>
      </c>
      <c r="D50" s="41">
        <f>SUM(D34:D49)</f>
        <v>0</v>
      </c>
      <c r="E50" s="41">
        <f>SUM(E34:E49)</f>
        <v>21414.720000000001</v>
      </c>
      <c r="F50" s="41">
        <f>SUM(F34:F49)</f>
        <v>7990.6299999999992</v>
      </c>
      <c r="G50" s="41">
        <f>SUM(G34:G49)</f>
        <v>599786.88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1350429.44</v>
      </c>
      <c r="D51" s="41">
        <f>D50+D31</f>
        <v>16968.62</v>
      </c>
      <c r="E51" s="41">
        <f>E50+E31</f>
        <v>131370.99</v>
      </c>
      <c r="F51" s="41">
        <f>F50+F31</f>
        <v>8040.6299999999992</v>
      </c>
      <c r="G51" s="41">
        <f>G50+G31</f>
        <v>836968.37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12874657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81753.739999999991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6891.21</v>
      </c>
      <c r="D59" s="95">
        <f>'DOE25'!G96</f>
        <v>0</v>
      </c>
      <c r="E59" s="95">
        <f>'DOE25'!H96</f>
        <v>0</v>
      </c>
      <c r="F59" s="95">
        <f>'DOE25'!I96</f>
        <v>6.67</v>
      </c>
      <c r="G59" s="95">
        <f>'DOE25'!J96</f>
        <v>26716.79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358122.15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163504.25</v>
      </c>
      <c r="D61" s="95">
        <f>SUM('DOE25'!G98:G110)</f>
        <v>1037.5999999999999</v>
      </c>
      <c r="E61" s="95">
        <f>SUM('DOE25'!H98:H110)</f>
        <v>25876.11</v>
      </c>
      <c r="F61" s="95">
        <f>SUM('DOE25'!I98:I110)</f>
        <v>17493.55</v>
      </c>
      <c r="G61" s="95">
        <f>SUM('DOE25'!J98:J110)</f>
        <v>5650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252149.2</v>
      </c>
      <c r="D62" s="130">
        <f>SUM(D57:D61)</f>
        <v>359159.75</v>
      </c>
      <c r="E62" s="130">
        <f>SUM(E57:E61)</f>
        <v>25876.11</v>
      </c>
      <c r="F62" s="130">
        <f>SUM(F57:F61)</f>
        <v>17500.219999999998</v>
      </c>
      <c r="G62" s="130">
        <f>SUM(G57:G61)</f>
        <v>32366.79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13126806.199999999</v>
      </c>
      <c r="D63" s="22">
        <f>D56+D62</f>
        <v>359159.75</v>
      </c>
      <c r="E63" s="22">
        <f>E56+E62</f>
        <v>25876.11</v>
      </c>
      <c r="F63" s="22">
        <f>F56+F62</f>
        <v>17500.219999999998</v>
      </c>
      <c r="G63" s="22">
        <f>G56+G62</f>
        <v>32366.79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1701381.48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1641829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3343210.48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305229.55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4395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894.39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309624.55</v>
      </c>
      <c r="D78" s="130">
        <f>SUM(D72:D77)</f>
        <v>894.39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3652835.03</v>
      </c>
      <c r="D81" s="130">
        <f>SUM(D79:D80)+D78+D70</f>
        <v>894.39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73292.009999999995</v>
      </c>
      <c r="D88" s="95">
        <f>SUM('DOE25'!G153:G161)</f>
        <v>17389.75</v>
      </c>
      <c r="E88" s="95">
        <f>SUM('DOE25'!H153:H161)</f>
        <v>245877.59999999998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73292.009999999995</v>
      </c>
      <c r="D91" s="131">
        <f>SUM(D85:D90)</f>
        <v>17389.75</v>
      </c>
      <c r="E91" s="131">
        <f>SUM(E85:E90)</f>
        <v>245877.59999999998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5704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5704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759</v>
      </c>
      <c r="C104" s="86">
        <f>C63+C81+C91+C103</f>
        <v>16852933.240000002</v>
      </c>
      <c r="D104" s="86">
        <f>D63+D81+D91+D103</f>
        <v>383147.89</v>
      </c>
      <c r="E104" s="86">
        <f>E63+E81+E91+E103</f>
        <v>271753.70999999996</v>
      </c>
      <c r="F104" s="86">
        <f>F63+F81+F91+F103</f>
        <v>17500.219999999998</v>
      </c>
      <c r="G104" s="86">
        <f>G63+G81+G103</f>
        <v>97366.790000000008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7109845.4000000004</v>
      </c>
      <c r="D109" s="24" t="s">
        <v>286</v>
      </c>
      <c r="E109" s="95">
        <f>('DOE25'!L276)+('DOE25'!L295)+('DOE25'!L314)</f>
        <v>1268.8399999999999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2283500.4699999997</v>
      </c>
      <c r="D110" s="24" t="s">
        <v>286</v>
      </c>
      <c r="E110" s="95">
        <f>('DOE25'!L277)+('DOE25'!L296)+('DOE25'!L315)</f>
        <v>177454.25999999998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12302.44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664281.3600000001</v>
      </c>
      <c r="D112" s="24" t="s">
        <v>286</v>
      </c>
      <c r="E112" s="95">
        <f>+('DOE25'!L279)+('DOE25'!L298)+('DOE25'!L317)</f>
        <v>35958.75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10069929.67</v>
      </c>
      <c r="D115" s="86">
        <f>SUM(D109:D114)</f>
        <v>0</v>
      </c>
      <c r="E115" s="86">
        <f>SUM(E109:E114)</f>
        <v>214681.84999999998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1741602.25</v>
      </c>
      <c r="D118" s="24" t="s">
        <v>286</v>
      </c>
      <c r="E118" s="95">
        <f>+('DOE25'!L281)+('DOE25'!L300)+('DOE25'!L319)</f>
        <v>9694.56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523940.68</v>
      </c>
      <c r="D119" s="24" t="s">
        <v>286</v>
      </c>
      <c r="E119" s="95">
        <f>+('DOE25'!L282)+('DOE25'!L301)+('DOE25'!L320)</f>
        <v>23990.42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882823.7300000001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763798.53999999992</v>
      </c>
      <c r="D121" s="24" t="s">
        <v>286</v>
      </c>
      <c r="E121" s="95">
        <f>+('DOE25'!L284)+('DOE25'!L303)+('DOE25'!L322)</f>
        <v>499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2179.25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1618378.9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663344.80000000005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450675.25</v>
      </c>
      <c r="D125" s="24" t="s">
        <v>286</v>
      </c>
      <c r="E125" s="95">
        <f>+('DOE25'!L288)+('DOE25'!L307)+('DOE25'!L326)</f>
        <v>10374.43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383147.88999999996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6646743.3999999994</v>
      </c>
      <c r="D128" s="86">
        <f>SUM(D118:D127)</f>
        <v>383147.88999999996</v>
      </c>
      <c r="E128" s="86">
        <f>SUM(E118:E127)</f>
        <v>44558.409999999996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20483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155000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29217.5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5704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91716.79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5650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-32366.789999999994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254921.5</v>
      </c>
      <c r="D144" s="141">
        <f>SUM(D130:D143)</f>
        <v>0</v>
      </c>
      <c r="E144" s="141">
        <f>SUM(E130:E143)</f>
        <v>0</v>
      </c>
      <c r="F144" s="141">
        <f>SUM(F130:F143)</f>
        <v>20483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16971594.57</v>
      </c>
      <c r="D145" s="86">
        <f>(D115+D128+D144)</f>
        <v>383147.88999999996</v>
      </c>
      <c r="E145" s="86">
        <f>(E115+E128+E144)</f>
        <v>259240.25999999998</v>
      </c>
      <c r="F145" s="86">
        <f>(F115+F128+F144)</f>
        <v>20483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1090000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620000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155000</v>
      </c>
    </row>
    <row r="159" spans="1:9" x14ac:dyDescent="0.2">
      <c r="A159" s="22" t="s">
        <v>35</v>
      </c>
      <c r="B159" s="137">
        <f>'DOE25'!F498</f>
        <v>465000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465000</v>
      </c>
    </row>
    <row r="160" spans="1:9" x14ac:dyDescent="0.2">
      <c r="A160" s="22" t="s">
        <v>36</v>
      </c>
      <c r="B160" s="137">
        <f>'DOE25'!F499</f>
        <v>36927.75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36927.75</v>
      </c>
    </row>
    <row r="161" spans="1:7" x14ac:dyDescent="0.2">
      <c r="A161" s="22" t="s">
        <v>37</v>
      </c>
      <c r="B161" s="137">
        <f>'DOE25'!F500</f>
        <v>501927.75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501927.75</v>
      </c>
    </row>
    <row r="162" spans="1:7" x14ac:dyDescent="0.2">
      <c r="A162" s="22" t="s">
        <v>38</v>
      </c>
      <c r="B162" s="137">
        <f>'DOE25'!F501</f>
        <v>155000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155000</v>
      </c>
    </row>
    <row r="163" spans="1:7" x14ac:dyDescent="0.2">
      <c r="A163" s="22" t="s">
        <v>39</v>
      </c>
      <c r="B163" s="137">
        <f>'DOE25'!F502</f>
        <v>20537.5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20537.5</v>
      </c>
    </row>
    <row r="164" spans="1:7" x14ac:dyDescent="0.2">
      <c r="A164" s="22" t="s">
        <v>246</v>
      </c>
      <c r="B164" s="137">
        <f>'DOE25'!F503</f>
        <v>175537.5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175537.5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Souhegan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19791</v>
      </c>
    </row>
    <row r="7" spans="1:4" x14ac:dyDescent="0.2">
      <c r="B7" t="s">
        <v>699</v>
      </c>
      <c r="C7" s="179">
        <f>IF('DOE25'!I665+'DOE25'!I670=0,0,ROUND('DOE25'!I672,0))</f>
        <v>19791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7111114</v>
      </c>
      <c r="D10" s="182">
        <f>ROUND((C10/$C$28)*100,1)</f>
        <v>41.8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2460955</v>
      </c>
      <c r="D11" s="182">
        <f>ROUND((C11/$C$28)*100,1)</f>
        <v>14.5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12302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700240</v>
      </c>
      <c r="D13" s="182">
        <f>ROUND((C13/$C$28)*100,1)</f>
        <v>4.0999999999999996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1751297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547931</v>
      </c>
      <c r="D16" s="182">
        <f t="shared" si="0"/>
        <v>3.2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1343873</v>
      </c>
      <c r="D17" s="182">
        <f t="shared" si="0"/>
        <v>7.9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764298</v>
      </c>
      <c r="D18" s="182">
        <f t="shared" si="0"/>
        <v>4.5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2179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1618379</v>
      </c>
      <c r="D20" s="182">
        <f t="shared" si="0"/>
        <v>9.5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663345</v>
      </c>
      <c r="D21" s="182">
        <f t="shared" si="0"/>
        <v>3.9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29218</v>
      </c>
      <c r="D25" s="182">
        <f t="shared" si="0"/>
        <v>0.2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23988.25</v>
      </c>
      <c r="D27" s="182">
        <f t="shared" si="0"/>
        <v>0.1</v>
      </c>
    </row>
    <row r="28" spans="1:4" x14ac:dyDescent="0.2">
      <c r="B28" s="187" t="s">
        <v>717</v>
      </c>
      <c r="C28" s="180">
        <f>SUM(C10:C27)</f>
        <v>17029119.25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20483</v>
      </c>
    </row>
    <row r="30" spans="1:4" x14ac:dyDescent="0.2">
      <c r="B30" s="187" t="s">
        <v>723</v>
      </c>
      <c r="C30" s="180">
        <f>SUM(C28:C29)</f>
        <v>17049602.25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155000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12874657</v>
      </c>
      <c r="D35" s="182">
        <f t="shared" ref="D35:D40" si="1">ROUND((C35/$C$41)*100,1)</f>
        <v>74.900000000000006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327892.3200000003</v>
      </c>
      <c r="D36" s="182">
        <f t="shared" si="1"/>
        <v>1.9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3343210</v>
      </c>
      <c r="D37" s="182">
        <f t="shared" si="1"/>
        <v>19.399999999999999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310519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336559</v>
      </c>
      <c r="D39" s="182">
        <f t="shared" si="1"/>
        <v>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17192837.32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Souhegan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2018-08-17T16:16:52Z</cp:lastPrinted>
  <dcterms:created xsi:type="dcterms:W3CDTF">1997-12-04T19:04:30Z</dcterms:created>
  <dcterms:modified xsi:type="dcterms:W3CDTF">2018-12-03T19:56:43Z</dcterms:modified>
</cp:coreProperties>
</file>