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2220" yWindow="645" windowWidth="23325" windowHeight="113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531" i="1" l="1"/>
  <c r="I521" i="1"/>
  <c r="H521" i="1"/>
  <c r="G521" i="1"/>
  <c r="F521" i="1"/>
  <c r="C21" i="12"/>
  <c r="C20" i="12"/>
  <c r="C12" i="12"/>
  <c r="G531" i="1"/>
  <c r="G203" i="1"/>
  <c r="G205" i="1"/>
  <c r="B21" i="12"/>
  <c r="B20" i="12"/>
  <c r="I197" i="1" l="1"/>
  <c r="F531" i="1"/>
  <c r="I203" i="1"/>
  <c r="H208" i="1"/>
  <c r="H207" i="1"/>
  <c r="H204" i="1"/>
  <c r="F203" i="1"/>
  <c r="F202" i="1"/>
  <c r="H604" i="1"/>
  <c r="J277" i="1"/>
  <c r="I277" i="1"/>
  <c r="H277" i="1"/>
  <c r="G277" i="1"/>
  <c r="F277" i="1"/>
  <c r="F29" i="1" l="1"/>
  <c r="F9" i="1"/>
  <c r="H159" i="1"/>
  <c r="H396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C125" i="2" s="1"/>
  <c r="L227" i="1"/>
  <c r="L245" i="1"/>
  <c r="F5" i="13"/>
  <c r="G5" i="13"/>
  <c r="L197" i="1"/>
  <c r="C109" i="2" s="1"/>
  <c r="L198" i="1"/>
  <c r="L199" i="1"/>
  <c r="L200" i="1"/>
  <c r="C13" i="10" s="1"/>
  <c r="L215" i="1"/>
  <c r="L216" i="1"/>
  <c r="L217" i="1"/>
  <c r="L218" i="1"/>
  <c r="L233" i="1"/>
  <c r="L247" i="1" s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C119" i="2" s="1"/>
  <c r="L221" i="1"/>
  <c r="L239" i="1"/>
  <c r="F12" i="13"/>
  <c r="G12" i="13"/>
  <c r="L205" i="1"/>
  <c r="D12" i="13" s="1"/>
  <c r="C12" i="13" s="1"/>
  <c r="L223" i="1"/>
  <c r="L241" i="1"/>
  <c r="F14" i="13"/>
  <c r="D14" i="13" s="1"/>
  <c r="C14" i="13" s="1"/>
  <c r="G14" i="13"/>
  <c r="L207" i="1"/>
  <c r="L225" i="1"/>
  <c r="L243" i="1"/>
  <c r="F15" i="13"/>
  <c r="G15" i="13"/>
  <c r="L208" i="1"/>
  <c r="F662" i="1" s="1"/>
  <c r="I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20" i="10"/>
  <c r="L250" i="1"/>
  <c r="L332" i="1"/>
  <c r="L254" i="1"/>
  <c r="C25" i="10"/>
  <c r="L268" i="1"/>
  <c r="L269" i="1"/>
  <c r="L349" i="1"/>
  <c r="L350" i="1"/>
  <c r="I665" i="1"/>
  <c r="I670" i="1"/>
  <c r="L229" i="1"/>
  <c r="F661" i="1"/>
  <c r="G661" i="1"/>
  <c r="I661" i="1" s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D31" i="2" s="1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1" i="2"/>
  <c r="E122" i="2"/>
  <c r="C123" i="2"/>
  <c r="E123" i="2"/>
  <c r="E124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J640" i="1" s="1"/>
  <c r="H460" i="1"/>
  <c r="F461" i="1"/>
  <c r="H461" i="1"/>
  <c r="F470" i="1"/>
  <c r="G470" i="1"/>
  <c r="G476" i="1" s="1"/>
  <c r="H623" i="1" s="1"/>
  <c r="J623" i="1" s="1"/>
  <c r="H470" i="1"/>
  <c r="I470" i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H545" i="1" s="1"/>
  <c r="I524" i="1"/>
  <c r="I545" i="1" s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K598" i="1" s="1"/>
  <c r="G647" i="1" s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G641" i="1"/>
  <c r="H641" i="1"/>
  <c r="G642" i="1"/>
  <c r="G643" i="1"/>
  <c r="H643" i="1"/>
  <c r="G644" i="1"/>
  <c r="G645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G164" i="2"/>
  <c r="C26" i="10"/>
  <c r="L328" i="1"/>
  <c r="L351" i="1"/>
  <c r="L290" i="1"/>
  <c r="A31" i="12"/>
  <c r="D62" i="2"/>
  <c r="D63" i="2" s="1"/>
  <c r="D18" i="13"/>
  <c r="C18" i="13" s="1"/>
  <c r="D15" i="13"/>
  <c r="C15" i="13" s="1"/>
  <c r="D18" i="2"/>
  <c r="D17" i="13"/>
  <c r="C17" i="13" s="1"/>
  <c r="F78" i="2"/>
  <c r="F81" i="2" s="1"/>
  <c r="D50" i="2"/>
  <c r="G157" i="2"/>
  <c r="F18" i="2"/>
  <c r="G161" i="2"/>
  <c r="G156" i="2"/>
  <c r="E103" i="2"/>
  <c r="E62" i="2"/>
  <c r="E63" i="2" s="1"/>
  <c r="E31" i="2"/>
  <c r="G62" i="2"/>
  <c r="D29" i="13"/>
  <c r="C29" i="13" s="1"/>
  <c r="D19" i="13"/>
  <c r="C19" i="13" s="1"/>
  <c r="E78" i="2"/>
  <c r="E81" i="2" s="1"/>
  <c r="L427" i="1"/>
  <c r="H112" i="1"/>
  <c r="J641" i="1"/>
  <c r="J639" i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338" i="1"/>
  <c r="G352" i="1" s="1"/>
  <c r="F169" i="1"/>
  <c r="J140" i="1"/>
  <c r="F571" i="1"/>
  <c r="I552" i="1"/>
  <c r="K550" i="1"/>
  <c r="G22" i="2"/>
  <c r="K545" i="1"/>
  <c r="J552" i="1"/>
  <c r="H552" i="1"/>
  <c r="C29" i="10"/>
  <c r="H140" i="1"/>
  <c r="F22" i="13"/>
  <c r="H25" i="13"/>
  <c r="C25" i="13" s="1"/>
  <c r="J651" i="1"/>
  <c r="H571" i="1"/>
  <c r="L560" i="1"/>
  <c r="J545" i="1"/>
  <c r="H338" i="1"/>
  <c r="H352" i="1" s="1"/>
  <c r="F338" i="1"/>
  <c r="F352" i="1" s="1"/>
  <c r="G192" i="1"/>
  <c r="H192" i="1"/>
  <c r="C35" i="10"/>
  <c r="E16" i="13"/>
  <c r="C16" i="13" s="1"/>
  <c r="J655" i="1"/>
  <c r="L570" i="1"/>
  <c r="I571" i="1"/>
  <c r="J636" i="1"/>
  <c r="G36" i="2"/>
  <c r="L565" i="1"/>
  <c r="K551" i="1"/>
  <c r="C22" i="13"/>
  <c r="H33" i="13"/>
  <c r="K549" i="1" l="1"/>
  <c r="K552" i="1" s="1"/>
  <c r="E8" i="13"/>
  <c r="C8" i="13" s="1"/>
  <c r="C15" i="10"/>
  <c r="A13" i="12"/>
  <c r="L534" i="1"/>
  <c r="L545" i="1" s="1"/>
  <c r="F476" i="1"/>
  <c r="H622" i="1" s="1"/>
  <c r="C17" i="10"/>
  <c r="C122" i="2"/>
  <c r="E13" i="13"/>
  <c r="C13" i="13" s="1"/>
  <c r="C21" i="10"/>
  <c r="H647" i="1"/>
  <c r="J647" i="1" s="1"/>
  <c r="C124" i="2"/>
  <c r="C112" i="2"/>
  <c r="C115" i="2" s="1"/>
  <c r="H660" i="1"/>
  <c r="H664" i="1" s="1"/>
  <c r="H667" i="1" s="1"/>
  <c r="H257" i="1"/>
  <c r="H271" i="1" s="1"/>
  <c r="D5" i="13"/>
  <c r="C5" i="13" s="1"/>
  <c r="C10" i="10"/>
  <c r="D7" i="13"/>
  <c r="C7" i="13" s="1"/>
  <c r="C18" i="10"/>
  <c r="C121" i="2"/>
  <c r="C16" i="10"/>
  <c r="C118" i="2"/>
  <c r="L211" i="1"/>
  <c r="L257" i="1" s="1"/>
  <c r="L271" i="1" s="1"/>
  <c r="G632" i="1" s="1"/>
  <c r="J632" i="1" s="1"/>
  <c r="J649" i="1"/>
  <c r="C91" i="2"/>
  <c r="C81" i="2"/>
  <c r="C62" i="2"/>
  <c r="C63" i="2" s="1"/>
  <c r="C56" i="2"/>
  <c r="J622" i="1"/>
  <c r="J617" i="1"/>
  <c r="C18" i="2"/>
  <c r="E120" i="2"/>
  <c r="E128" i="2" s="1"/>
  <c r="K338" i="1"/>
  <c r="K352" i="1" s="1"/>
  <c r="E115" i="2"/>
  <c r="L309" i="1"/>
  <c r="G660" i="1" s="1"/>
  <c r="G664" i="1" s="1"/>
  <c r="G672" i="1" s="1"/>
  <c r="C5" i="10" s="1"/>
  <c r="C11" i="10"/>
  <c r="J644" i="1"/>
  <c r="J645" i="1"/>
  <c r="I460" i="1"/>
  <c r="I461" i="1" s="1"/>
  <c r="H642" i="1" s="1"/>
  <c r="J642" i="1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I663" i="1"/>
  <c r="C27" i="10"/>
  <c r="G635" i="1"/>
  <c r="J635" i="1" s="1"/>
  <c r="E33" i="13" l="1"/>
  <c r="D35" i="13" s="1"/>
  <c r="H672" i="1"/>
  <c r="C6" i="10" s="1"/>
  <c r="C128" i="2"/>
  <c r="C145" i="2" s="1"/>
  <c r="F660" i="1"/>
  <c r="F664" i="1" s="1"/>
  <c r="F672" i="1" s="1"/>
  <c r="C4" i="10" s="1"/>
  <c r="C28" i="10"/>
  <c r="D23" i="10" s="1"/>
  <c r="C104" i="2"/>
  <c r="E145" i="2"/>
  <c r="D31" i="13"/>
  <c r="C31" i="13" s="1"/>
  <c r="G667" i="1"/>
  <c r="H646" i="1"/>
  <c r="J646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7" i="1" l="1"/>
  <c r="I660" i="1"/>
  <c r="I664" i="1" s="1"/>
  <c r="I672" i="1" s="1"/>
  <c r="C7" i="10" s="1"/>
  <c r="D20" i="10"/>
  <c r="D11" i="10"/>
  <c r="D13" i="10"/>
  <c r="D17" i="10"/>
  <c r="D19" i="10"/>
  <c r="D18" i="10"/>
  <c r="D25" i="10"/>
  <c r="D22" i="10"/>
  <c r="D27" i="10"/>
  <c r="D15" i="10"/>
  <c r="D21" i="10"/>
  <c r="D24" i="10"/>
  <c r="D12" i="10"/>
  <c r="D33" i="13"/>
  <c r="D36" i="13" s="1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<sst xmlns="http://schemas.openxmlformats.org/spreadsheetml/2006/main" count="3958" uniqueCount="914">
  <si>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</si>
  <si>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</si>
  <si>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</si>
  <si>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</si>
  <si>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</si>
  <si>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</si>
  <si>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</si>
  <si>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</si>
  <si>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</si>
  <si>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</si>
  <si>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</si>
  <si>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</si>
  <si>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</si>
  <si>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</si>
  <si>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</si>
  <si>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</si>
  <si>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</si>
  <si>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</si>
  <si>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</si>
  <si>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</si>
  <si>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</si>
  <si>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</si>
  <si>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</si>
  <si>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</si>
  <si>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</si>
  <si>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</si>
  <si>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</si>
  <si>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</si>
  <si>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</si>
  <si>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</si>
  <si>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</si>
  <si>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</si>
  <si>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</si>
  <si>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</si>
  <si>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</si>
  <si>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</si>
  <si>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</si>
  <si>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</si>
  <si>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</si>
  <si>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</si>
  <si>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</si>
  <si>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</si>
  <si>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</si>
  <si>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</si>
  <si>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</si>
  <si>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</si>
  <si>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</si>
  <si>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</si>
  <si>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</si>
  <si>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</si>
  <si>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</si>
  <si>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</si>
  <si>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</si>
  <si>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</si>
  <si>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</si>
  <si>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</si>
  <si>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</si>
  <si>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</si>
  <si>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</si>
  <si>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</si>
  <si>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</si>
  <si>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</si>
  <si>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</si>
  <si>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</si>
  <si>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</si>
  <si>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</si>
  <si>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</si>
  <si>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</si>
  <si>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</si>
  <si>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</si>
  <si>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</si>
  <si>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</si>
  <si>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</si>
  <si>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</si>
  <si>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</si>
  <si>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</si>
  <si>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</si>
  <si>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</si>
  <si>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</si>
  <si>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</si>
  <si>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</si>
  <si>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</si>
  <si>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</si>
  <si>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</si>
  <si>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</si>
  <si>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</si>
  <si>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</si>
  <si>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</si>
  <si>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</si>
  <si>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</si>
  <si>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</si>
  <si>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</si>
  <si>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</si>
  <si>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</si>
  <si>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</si>
  <si>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</si>
  <si>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</si>
  <si>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</si>
  <si>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</si>
  <si>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</si>
  <si>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</si>
  <si>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</si>
  <si>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</si>
  <si>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</si>
  <si>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</si>
  <si>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</si>
  <si>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</si>
  <si>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</si>
  <si>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</si>
  <si>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</si>
  <si>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</si>
  <si>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</si>
  <si>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</si>
  <si>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</si>
  <si>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</si>
  <si>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</si>
  <si>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</si>
  <si>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</si>
  <si>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</si>
  <si>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</si>
  <si>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</si>
  <si>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</si>
  <si>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</si>
  <si>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</si>
  <si>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</si>
  <si>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</si>
  <si>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</si>
  <si>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</si>
  <si>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</si>
  <si>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</si>
  <si>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</si>
  <si>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</si>
  <si>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</si>
  <si>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</si>
  <si>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</si>
  <si>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</si>
  <si>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</si>
  <si>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</si>
  <si>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</si>
  <si>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</si>
  <si>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</si>
  <si>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</si>
  <si>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</si>
  <si>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</si>
  <si>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</si>
  <si>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</si>
  <si>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</si>
  <si>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</si>
  <si>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</si>
  <si>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</si>
  <si>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</si>
  <si>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</si>
  <si>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</si>
  <si>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</si>
  <si>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</si>
  <si>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</si>
  <si>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</si>
  <si>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</si>
  <si>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</si>
  <si>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</si>
  <si>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</si>
  <si>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</si>
  <si>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</si>
  <si>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</si>
  <si>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</si>
  <si>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</si>
  <si>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</si>
  <si>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</si>
  <si>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</si>
  <si>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</si>
  <si>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</si>
  <si>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</si>
  <si>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</si>
  <si>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</si>
  <si>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</si>
  <si>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</si>
  <si>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</si>
  <si>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</si>
  <si>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</si>
  <si>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</si>
  <si>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</si>
  <si>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</si>
  <si>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</si>
  <si>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</si>
  <si>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</si>
  <si>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</si>
  <si>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</si>
  <si>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</si>
  <si>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</si>
  <si>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</si>
  <si>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</si>
  <si>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</si>
  <si>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</si>
  <si>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</si>
  <si>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</si>
  <si>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</si>
  <si>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</si>
  <si>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</si>
  <si>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</si>
  <si>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</si>
  <si>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</si>
  <si>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</si>
  <si>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</si>
  <si>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</si>
  <si>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</si>
  <si>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</si>
  <si>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</si>
  <si>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</si>
  <si>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</si>
  <si>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</si>
  <si>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</si>
  <si>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</si>
  <si>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</si>
  <si>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</si>
  <si>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</si>
  <si>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</si>
  <si>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</si>
  <si>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</si>
  <si>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</si>
  <si>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</si>
  <si>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</si>
  <si>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</si>
  <si>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</si>
  <si>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</si>
  <si>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</si>
  <si>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</si>
  <si>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</si>
  <si>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</si>
  <si>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</si>
  <si>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</si>
  <si>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</si>
  <si>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</si>
  <si>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</si>
  <si>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</si>
  <si>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</si>
  <si>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</si>
  <si>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</si>
  <si>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</si>
  <si>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</si>
  <si>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</si>
  <si>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</si>
  <si>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</si>
  <si>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</si>
  <si>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</si>
  <si>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</si>
  <si>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</si>
  <si>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</si>
  <si>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</si>
  <si>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</si>
  <si>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</si>
  <si>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</si>
  <si>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</si>
  <si>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</si>
  <si>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</si>
  <si>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</si>
  <si>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</si>
  <si>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</si>
  <si>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</si>
  <si>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</si>
  <si>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</si>
  <si>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</si>
  <si>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</si>
  <si>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</si>
  <si>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</si>
  <si>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</si>
  <si>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</si>
  <si>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</si>
  <si>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</si>
  <si>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</si>
  <si>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</si>
  <si>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</si>
  <si>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</si>
  <si>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</si>
  <si>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</si>
  <si>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</si>
  <si>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</si>
  <si>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</si>
  <si>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</si>
  <si>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</si>
  <si>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</si>
  <si>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</si>
  <si>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</si>
  <si>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</si>
  <si>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</si>
  <si>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</si>
  <si>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</si>
  <si>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</si>
  <si>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</si>
  <si>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</si>
  <si>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</si>
  <si>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</si>
  <si>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</si>
  <si>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</si>
  <si>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</si>
  <si>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</si>
  <si>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</si>
  <si>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</si>
  <si>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</si>
  <si>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</si>
  <si>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</si>
  <si>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</si>
  <si>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</si>
  <si>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</si>
  <si>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</si>
  <si>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</si>
  <si>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</si>
  <si>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</si>
  <si>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</si>
  <si>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</si>
  <si>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</si>
  <si>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</si>
  <si>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</si>
  <si>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</si>
  <si>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</si>
  <si>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</si>
  <si>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</si>
  <si>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</si>
  <si>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</si>
  <si>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</si>
  <si>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</si>
  <si>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</si>
  <si>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</si>
  <si>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</si>
  <si>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</si>
  <si>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</si>
  <si>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</si>
  <si>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</si>
  <si>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</si>
  <si>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</si>
  <si>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</si>
  <si>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</si>
  <si>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</si>
  <si>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</si>
  <si>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</si>
  <si>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</si>
  <si>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</si>
  <si>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</si>
  <si>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</si>
  <si>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</si>
  <si>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</si>
  <si>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</si>
  <si>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</si>
  <si>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</si>
  <si>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</si>
  <si>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</si>
  <si>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</si>
  <si>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</si>
  <si>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</si>
  <si>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</si>
  <si>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</si>
  <si>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</si>
  <si>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</si>
  <si>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</si>
  <si>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</si>
  <si>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</si>
  <si>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</si>
  <si>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</si>
  <si>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</si>
  <si>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</si>
  <si>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</si>
  <si>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</si>
  <si>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</si>
  <si>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</si>
  <si>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</si>
  <si>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</si>
  <si>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</si>
  <si>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</si>
  <si>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</si>
  <si>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</si>
  <si>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</si>
  <si>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</si>
  <si>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</si>
  <si>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</si>
  <si>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</si>
  <si>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</si>
  <si>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</si>
  <si>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</si>
  <si>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</si>
  <si>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</si>
  <si>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</si>
  <si>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</si>
  <si>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</si>
  <si>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</si>
  <si>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</si>
  <si>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</si>
  <si>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</si>
  <si>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</si>
  <si>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</si>
  <si>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</si>
  <si>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</si>
  <si>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</si>
  <si>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</si>
  <si>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</si>
  <si>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</si>
  <si>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</si>
  <si>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</si>
  <si>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</si>
  <si>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</si>
  <si>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</si>
  <si>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</si>
  <si>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</si>
  <si>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</si>
  <si>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</si>
  <si>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</si>
  <si>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</si>
  <si>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</si>
  <si>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</si>
  <si>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</si>
  <si>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</si>
  <si>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</si>
  <si>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</si>
  <si>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</si>
  <si>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</si>
  <si>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</si>
  <si>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</si>
  <si>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</si>
  <si>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</si>
  <si>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</si>
  <si>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</si>
  <si>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</si>
  <si>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</si>
  <si>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</si>
  <si>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</si>
  <si>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</si>
  <si>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</si>
  <si>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</si>
  <si>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</si>
  <si>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</si>
  <si>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</si>
  <si>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</si>
  <si>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</si>
  <si>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</si>
  <si>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</si>
  <si>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</si>
  <si>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</si>
  <si>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</si>
  <si>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</si>
  <si>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</si>
  <si>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</si>
  <si>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</si>
  <si>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</si>
  <si>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</si>
  <si>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</si>
  <si>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</si>
  <si>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</si>
  <si>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</si>
  <si>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</si>
  <si>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</si>
  <si>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</si>
  <si>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</si>
  <si>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</si>
  <si>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</si>
  <si>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</si>
  <si>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</si>
  <si>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</si>
  <si>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</si>
  <si>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</si>
  <si>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</si>
  <si>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</si>
  <si>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</si>
  <si>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</si>
  <si>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</si>
  <si>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</si>
  <si>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</si>
  <si>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</si>
  <si>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</si>
  <si>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</si>
  <si>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</si>
  <si>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</si>
  <si>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</si>
  <si>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</si>
  <si>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</si>
  <si>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</si>
  <si>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</si>
  <si>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</si>
  <si>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</si>
  <si>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</si>
  <si>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</si>
  <si>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</si>
  <si>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</si>
  <si>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</si>
  <si>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</si>
  <si>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</si>
  <si>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</si>
  <si>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</si>
  <si>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</si>
  <si>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</si>
  <si>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</si>
  <si>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</si>
  <si>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</si>
  <si>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</si>
  <si>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</si>
  <si>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</si>
  <si>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</si>
  <si>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</si>
  <si>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</si>
  <si>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</si>
  <si>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</si>
  <si>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</si>
  <si>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</si>
  <si>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</si>
  <si>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</si>
  <si>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</si>
  <si>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</si>
  <si>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</si>
  <si>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</si>
  <si>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</si>
  <si>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</si>
  <si>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</si>
  <si>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</si>
  <si>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</si>
  <si>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</si>
  <si>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</si>
  <si>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</si>
  <si>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</si>
  <si>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</si>
  <si>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</si>
  <si>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</si>
  <si>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</si>
  <si>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</si>
  <si>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</si>
  <si>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</si>
  <si>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</si>
  <si>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</si>
  <si>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</si>
  <si>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</si>
  <si>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</si>
  <si>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</si>
  <si>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</si>
  <si>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</si>
  <si>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</si>
  <si>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</si>
  <si>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</si>
  <si>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</si>
  <si>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</si>
  <si>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</si>
  <si>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</si>
  <si>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</si>
  <si>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</si>
  <si>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</si>
  <si>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</si>
  <si>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</si>
  <si>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</si>
  <si>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</si>
  <si>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</si>
  <si>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</si>
  <si>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</si>
  <si>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</si>
  <si>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</si>
  <si>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</si>
  <si>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</si>
  <si>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</si>
  <si>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</si>
  <si>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</si>
  <si>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</si>
  <si>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</si>
  <si>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</si>
  <si>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</si>
  <si>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</si>
  <si>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</si>
  <si>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</si>
  <si>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</si>
  <si>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</si>
  <si>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</si>
  <si>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</si>
  <si>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</si>
  <si>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</si>
  <si>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</si>
  <si>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</si>
  <si>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</si>
  <si>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</si>
  <si>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</si>
  <si>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</si>
  <si>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</si>
  <si>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</si>
  <si>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</si>
  <si>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</si>
  <si>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</si>
  <si>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</si>
  <si>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</si>
  <si>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</si>
  <si>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</si>
  <si>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</si>
  <si>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</si>
  <si>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</si>
  <si>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</si>
  <si>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</si>
  <si>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</si>
  <si>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</si>
  <si>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</si>
  <si>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</si>
  <si>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</si>
  <si>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</si>
  <si>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</si>
  <si>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</si>
  <si>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</si>
  <si>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</si>
  <si>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</si>
  <si>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</si>
  <si>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</si>
  <si>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</si>
  <si>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</si>
  <si>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</si>
  <si>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</si>
  <si>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</si>
  <si>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</si>
  <si>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</si>
  <si>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</si>
  <si>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</si>
  <si>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</si>
  <si>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</si>
  <si>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</si>
  <si>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</si>
  <si>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</si>
  <si>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</si>
  <si>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</si>
  <si>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</si>
  <si>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</si>
  <si>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</si>
  <si>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</si>
  <si>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</si>
  <si>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</si>
  <si>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</si>
  <si>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</si>
  <si>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</si>
  <si>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</si>
  <si>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</si>
  <si>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</si>
  <si>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</si>
  <si>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</si>
  <si>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</si>
  <si>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</si>
  <si>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</si>
  <si>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</si>
  <si>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</si>
  <si>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</si>
  <si>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</si>
  <si>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</si>
  <si>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</si>
  <si>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</si>
  <si>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</si>
  <si>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</si>
  <si>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</si>
  <si>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</si>
  <si>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</si>
  <si>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</si>
  <si>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</si>
  <si>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</si>
  <si>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</si>
  <si>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</si>
  <si>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</si>
  <si>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</si>
  <si>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</si>
  <si>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</si>
  <si>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</si>
  <si>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</si>
  <si>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</si>
  <si>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</si>
  <si>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</si>
  <si>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</si>
  <si>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</si>
  <si>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</si>
  <si>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</si>
  <si>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</si>
  <si>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</si>
  <si>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</si>
  <si>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</si>
  <si>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</si>
  <si>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</si>
  <si>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</si>
  <si>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</si>
  <si>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</si>
  <si>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</si>
  <si>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</si>
  <si>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</si>
  <si>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</si>
  <si>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</si>
  <si>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</si>
  <si>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</si>
  <si>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</si>
  <si>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</si>
  <si>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</si>
  <si>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</si>
  <si>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</si>
  <si>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</si>
  <si>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</si>
  <si>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</si>
  <si>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</si>
  <si>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</si>
  <si>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</si>
  <si>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</si>
  <si>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</si>
  <si>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</si>
  <si>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</si>
  <si>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</si>
  <si>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</si>
  <si>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</si>
  <si>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</si>
  <si>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</si>
  <si>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</si>
  <si>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</si>
  <si>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</si>
  <si>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</si>
  <si>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</si>
  <si>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</si>
  <si>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</si>
  <si>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</si>
  <si>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</si>
  <si>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</si>
  <si>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</si>
  <si>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</si>
  <si>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</si>
  <si>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</si>
  <si>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</si>
  <si>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</si>
  <si>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</si>
  <si>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</si>
  <si>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</si>
  <si>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</si>
  <si>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</si>
  <si>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</si>
  <si>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</si>
  <si>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</si>
  <si>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</si>
  <si>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</si>
  <si>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</si>
  <si>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</si>
  <si>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</si>
  <si>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</si>
  <si>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</si>
  <si>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</si>
  <si>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</si>
  <si>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</si>
  <si>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</si>
  <si>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</si>
  <si>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</si>
  <si>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</si>
  <si>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</si>
  <si>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</si>
  <si>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</si>
  <si>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</si>
  <si>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</si>
  <si>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</si>
  <si>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</si>
  <si>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</si>
  <si>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</si>
  <si>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</si>
  <si>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</si>
  <si>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</si>
  <si>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</si>
  <si>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</si>
  <si>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</si>
  <si>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</si>
  <si>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</si>
  <si>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</si>
  <si>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</si>
  <si>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</si>
  <si>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</si>
  <si>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</si>
  <si>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</si>
  <si>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</si>
  <si>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</si>
  <si>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</si>
  <si>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</si>
  <si>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</si>
  <si>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</si>
  <si>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</si>
  <si>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</si>
  <si>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</si>
  <si>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</si>
  <si>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</si>
  <si>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</si>
  <si>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</si>
  <si>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</si>
  <si>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</si>
  <si>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</si>
  <si>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</si>
  <si>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</si>
  <si>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</si>
  <si>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</si>
  <si>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</si>
  <si>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</si>
  <si>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</si>
  <si>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</si>
  <si>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</si>
  <si>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</si>
  <si>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</si>
  <si>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</si>
  <si>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</si>
  <si>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</si>
  <si>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</si>
  <si>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</si>
  <si>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</si>
  <si>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</si>
  <si>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</si>
  <si>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</si>
  <si>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</si>
  <si>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</si>
  <si>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</si>
  <si>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</si>
  <si>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</si>
  <si>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</si>
  <si>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</si>
  <si>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</si>
  <si>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</si>
  <si>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</si>
  <si>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</si>
  <si>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</si>
  <si>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</si>
  <si>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</si>
  <si>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</si>
  <si>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</si>
  <si>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</si>
  <si>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</si>
  <si>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</si>
  <si>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</si>
  <si>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</si>
  <si>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</si>
  <si>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</si>
  <si>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</si>
  <si>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</si>
  <si>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</si>
  <si>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</si>
  <si>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</si>
  <si>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</si>
  <si>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</si>
  <si>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</si>
  <si>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</si>
  <si>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</si>
  <si>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</si>
  <si>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</si>
  <si>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</si>
  <si>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</si>
  <si>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</si>
  <si>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</si>
  <si>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</si>
  <si>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</si>
  <si>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</si>
  <si>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</si>
  <si>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</si>
  <si>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</si>
  <si>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</si>
  <si>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</si>
  <si>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</si>
  <si>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</si>
  <si>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</si>
  <si>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</si>
  <si>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</si>
  <si>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</si>
  <si>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</si>
  <si>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</si>
  <si>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</si>
  <si>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</si>
  <si>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</si>
  <si>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</si>
  <si>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</si>
  <si>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</si>
  <si>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</si>
  <si>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</si>
  <si>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</si>
  <si>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</si>
  <si>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</si>
  <si>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</si>
  <si>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</si>
  <si>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</si>
  <si>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</si>
  <si>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</si>
  <si>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</si>
  <si>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</si>
  <si>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</si>
  <si>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</si>
  <si>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</si>
  <si>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</si>
  <si>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</si>
  <si>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</si>
  <si>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</si>
  <si>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</si>
  <si>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</si>
  <si>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</si>
  <si>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</si>
  <si>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</si>
  <si>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</si>
  <si>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</si>
  <si>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</si>
  <si>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</si>
  <si>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</si>
  <si>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</si>
  <si>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</si>
  <si>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</si>
  <si>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</si>
  <si>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</si>
  <si>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</si>
  <si>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</si>
  <si>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</si>
  <si>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</si>
  <si>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</si>
  <si>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</si>
  <si>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</si>
  <si>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</si>
  <si>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</si>
  <si>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</si>
  <si>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</si>
  <si>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</si>
  <si>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</si>
  <si>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</si>
  <si>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</si>
  <si>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</si>
  <si>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</si>
  <si>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</si>
  <si>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</si>
  <si>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</si>
  <si>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</si>
  <si>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SOUTH HAMPTON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</si>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</sst>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495</v>
      </c>
      <c r="C2" s="21">
        <v>495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126967.28+200</f>
        <v>127167.28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200591.02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5596.64</v>
      </c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974.07</v>
      </c>
      <c r="G13" s="18">
        <v>46.03</v>
      </c>
      <c r="H13" s="18">
        <v>5550.61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899.1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451.25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135088.34000000003</v>
      </c>
      <c r="G19" s="41">
        <f>SUM(G9:G18)</f>
        <v>46.03</v>
      </c>
      <c r="H19" s="41">
        <f>SUM(H9:H18)</f>
        <v>5550.61</v>
      </c>
      <c r="I19" s="41">
        <f>SUM(I9:I18)</f>
        <v>0</v>
      </c>
      <c r="J19" s="41">
        <f>SUM(J9:J18)</f>
        <v>200591.02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46.03</v>
      </c>
      <c r="H22" s="18">
        <v>5550.61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7377.61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1017.79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77.86+606.43+375.14</f>
        <v>1059.4299999999998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9454.83</v>
      </c>
      <c r="G32" s="41">
        <f>SUM(G22:G31)</f>
        <v>46.03</v>
      </c>
      <c r="H32" s="41">
        <f>SUM(H22:H31)</f>
        <v>5550.61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451.25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37500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12568.68</v>
      </c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2517.79</v>
      </c>
      <c r="G48" s="18"/>
      <c r="H48" s="18"/>
      <c r="I48" s="18"/>
      <c r="J48" s="13">
        <f>SUM(I459)</f>
        <v>200591.02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135.44999999999999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72460.34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125633.51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200591.02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135088.34</v>
      </c>
      <c r="G52" s="41">
        <f>G51+G32</f>
        <v>46.03</v>
      </c>
      <c r="H52" s="41">
        <f>H51+H32</f>
        <v>5550.61</v>
      </c>
      <c r="I52" s="41">
        <f>I51+I32</f>
        <v>0</v>
      </c>
      <c r="J52" s="41">
        <f>J51+J32</f>
        <v>200591.02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1618149.07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1618149.07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321.01</v>
      </c>
      <c r="G96" s="18"/>
      <c r="H96" s="18"/>
      <c r="I96" s="18"/>
      <c r="J96" s="18">
        <v>2557.91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590.79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105.51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426.52</v>
      </c>
      <c r="G111" s="41">
        <f>SUM(G96:G110)</f>
        <v>590.79</v>
      </c>
      <c r="H111" s="41">
        <f>SUM(H96:H110)</f>
        <v>0</v>
      </c>
      <c r="I111" s="41">
        <f>SUM(I96:I110)</f>
        <v>0</v>
      </c>
      <c r="J111" s="41">
        <f>SUM(J96:J110)</f>
        <v>2557.91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1618575.59</v>
      </c>
      <c r="G112" s="41">
        <f>G60+G111</f>
        <v>590.79</v>
      </c>
      <c r="H112" s="41">
        <f>H60+H79+H94+H111</f>
        <v>0</v>
      </c>
      <c r="I112" s="41">
        <f>I60+I111</f>
        <v>0</v>
      </c>
      <c r="J112" s="41">
        <f>J60+J111</f>
        <v>2557.91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67633.2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319060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386693.2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7227.68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7227.68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393920.88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9995.9</v>
      </c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947.6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566.20000000000005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11886.85+12090.06+935.02+1052.93</f>
        <v>25964.86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11944.77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21940.67</v>
      </c>
      <c r="G162" s="41">
        <f>SUM(G150:G161)</f>
        <v>566.20000000000005</v>
      </c>
      <c r="H162" s="41">
        <f>SUM(H150:H161)</f>
        <v>26912.46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21940.67</v>
      </c>
      <c r="G169" s="41">
        <f>G147+G162+SUM(G163:G168)</f>
        <v>566.20000000000005</v>
      </c>
      <c r="H169" s="41">
        <f>H147+H162+SUM(H163:H168)</f>
        <v>26912.46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108.13</v>
      </c>
      <c r="H179" s="18"/>
      <c r="I179" s="18"/>
      <c r="J179" s="18">
        <v>25000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108.13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108.13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2034437.1400000001</v>
      </c>
      <c r="G193" s="47">
        <f>G112+G140+G169+G192</f>
        <v>1265.1199999999999</v>
      </c>
      <c r="H193" s="47">
        <f>H112+H140+H169+H192</f>
        <v>26912.46</v>
      </c>
      <c r="I193" s="47">
        <f>I112+I140+I169+I192</f>
        <v>0</v>
      </c>
      <c r="J193" s="47">
        <f>J112+J140+J192</f>
        <v>27557.91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482163.5</v>
      </c>
      <c r="G197" s="18">
        <v>145694.74</v>
      </c>
      <c r="H197" s="18">
        <v>8210.65</v>
      </c>
      <c r="I197" s="18">
        <f>15303.11+7692.19</f>
        <v>22995.3</v>
      </c>
      <c r="J197" s="18"/>
      <c r="K197" s="18"/>
      <c r="L197" s="19">
        <f>SUM(F197:K197)</f>
        <v>659064.19000000006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227482.61</v>
      </c>
      <c r="G198" s="18">
        <v>64532.43</v>
      </c>
      <c r="H198" s="18">
        <v>152952.87</v>
      </c>
      <c r="I198" s="18">
        <v>1948.38</v>
      </c>
      <c r="J198" s="18"/>
      <c r="K198" s="18">
        <v>815</v>
      </c>
      <c r="L198" s="19">
        <f>SUM(F198:K198)</f>
        <v>447731.29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8020</v>
      </c>
      <c r="G200" s="18">
        <v>656.04</v>
      </c>
      <c r="H200" s="18">
        <v>700</v>
      </c>
      <c r="I200" s="18">
        <v>1929.14</v>
      </c>
      <c r="J200" s="18"/>
      <c r="K200" s="18"/>
      <c r="L200" s="19">
        <f>SUM(F200:K200)</f>
        <v>11305.18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12015+48286</f>
        <v>60301</v>
      </c>
      <c r="G202" s="18">
        <v>31053.69</v>
      </c>
      <c r="H202" s="18">
        <v>276</v>
      </c>
      <c r="I202" s="18">
        <v>85.89</v>
      </c>
      <c r="J202" s="18">
        <v>156.19</v>
      </c>
      <c r="K202" s="18"/>
      <c r="L202" s="19">
        <f t="shared" ref="L202:L208" si="0">SUM(F202:K202)</f>
        <v>91872.77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350+4113.8+29457.6</f>
        <v>33921.4</v>
      </c>
      <c r="G203" s="18">
        <f>2815.77+3089.99</f>
        <v>5905.76</v>
      </c>
      <c r="H203" s="18">
        <v>6120.93</v>
      </c>
      <c r="I203" s="18">
        <f>361.25+17561.72</f>
        <v>17922.97</v>
      </c>
      <c r="J203" s="18">
        <v>3950.95</v>
      </c>
      <c r="K203" s="18"/>
      <c r="L203" s="19">
        <f t="shared" si="0"/>
        <v>67822.010000000009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5828</v>
      </c>
      <c r="G204" s="18">
        <v>450.5</v>
      </c>
      <c r="H204" s="18">
        <f>9420.96+35416</f>
        <v>44836.959999999999</v>
      </c>
      <c r="I204" s="18"/>
      <c r="J204" s="18"/>
      <c r="K204" s="18">
        <v>3391.52</v>
      </c>
      <c r="L204" s="19">
        <f t="shared" si="0"/>
        <v>54506.979999999996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123958</v>
      </c>
      <c r="G205" s="18">
        <f>48593.37+999.96</f>
        <v>49593.33</v>
      </c>
      <c r="H205" s="18">
        <v>2506.0300000000002</v>
      </c>
      <c r="I205" s="18">
        <v>1522.91</v>
      </c>
      <c r="J205" s="18"/>
      <c r="K205" s="18">
        <v>780</v>
      </c>
      <c r="L205" s="19">
        <f t="shared" si="0"/>
        <v>178360.27000000002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>
        <v>35137.4</v>
      </c>
      <c r="J206" s="18"/>
      <c r="K206" s="18"/>
      <c r="L206" s="19">
        <f t="shared" si="0"/>
        <v>35137.4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25415.56</v>
      </c>
      <c r="G207" s="18">
        <v>2078.9899999999998</v>
      </c>
      <c r="H207" s="18">
        <f>42808.9+22041</f>
        <v>64849.9</v>
      </c>
      <c r="I207" s="18"/>
      <c r="J207" s="18">
        <v>2029.35</v>
      </c>
      <c r="K207" s="18"/>
      <c r="L207" s="19">
        <f t="shared" si="0"/>
        <v>94373.800000000017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f>51524.71+4888.82+1770.76+863.97+4615</f>
        <v>63663.26</v>
      </c>
      <c r="I208" s="18"/>
      <c r="J208" s="18"/>
      <c r="K208" s="18"/>
      <c r="L208" s="19">
        <f t="shared" si="0"/>
        <v>63663.26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 t="s">
        <v>913</v>
      </c>
      <c r="H209" s="18"/>
      <c r="I209" s="18"/>
      <c r="J209" s="18"/>
      <c r="K209" s="18">
        <v>40.4</v>
      </c>
      <c r="L209" s="19">
        <f>SUM(F209:K209)</f>
        <v>40.4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967090.07000000007</v>
      </c>
      <c r="G211" s="41">
        <f t="shared" si="1"/>
        <v>299965.48</v>
      </c>
      <c r="H211" s="41">
        <f t="shared" si="1"/>
        <v>344116.6</v>
      </c>
      <c r="I211" s="41">
        <f t="shared" si="1"/>
        <v>81541.990000000005</v>
      </c>
      <c r="J211" s="41">
        <f t="shared" si="1"/>
        <v>6136.49</v>
      </c>
      <c r="K211" s="41">
        <f t="shared" si="1"/>
        <v>5026.92</v>
      </c>
      <c r="L211" s="41">
        <f t="shared" si="1"/>
        <v>1703877.5499999998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285096.36</v>
      </c>
      <c r="I233" s="18"/>
      <c r="J233" s="18"/>
      <c r="K233" s="18"/>
      <c r="L233" s="19">
        <f>SUM(F233:K233)</f>
        <v>285096.36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285096.36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285096.36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967090.07000000007</v>
      </c>
      <c r="G257" s="41">
        <f t="shared" si="8"/>
        <v>299965.48</v>
      </c>
      <c r="H257" s="41">
        <f t="shared" si="8"/>
        <v>629212.96</v>
      </c>
      <c r="I257" s="41">
        <f t="shared" si="8"/>
        <v>81541.990000000005</v>
      </c>
      <c r="J257" s="41">
        <f t="shared" si="8"/>
        <v>6136.49</v>
      </c>
      <c r="K257" s="41">
        <f t="shared" si="8"/>
        <v>5026.92</v>
      </c>
      <c r="L257" s="41">
        <f t="shared" si="8"/>
        <v>1988973.9099999997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108.13</v>
      </c>
      <c r="L263" s="19">
        <f>SUM(F263:K263)</f>
        <v>108.13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</v>
      </c>
      <c r="L266" s="19">
        <f t="shared" si="9"/>
        <v>25000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25108.13</v>
      </c>
      <c r="L270" s="41">
        <f t="shared" si="9"/>
        <v>25108.13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967090.07000000007</v>
      </c>
      <c r="G271" s="42">
        <f t="shared" si="11"/>
        <v>299965.48</v>
      </c>
      <c r="H271" s="42">
        <f t="shared" si="11"/>
        <v>629212.96</v>
      </c>
      <c r="I271" s="42">
        <f t="shared" si="11"/>
        <v>81541.990000000005</v>
      </c>
      <c r="J271" s="42">
        <f t="shared" si="11"/>
        <v>6136.49</v>
      </c>
      <c r="K271" s="42">
        <f t="shared" si="11"/>
        <v>30135.050000000003</v>
      </c>
      <c r="L271" s="42">
        <f t="shared" si="11"/>
        <v>2014082.0399999996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>
        <v>596.16</v>
      </c>
      <c r="I276" s="18">
        <v>337.44</v>
      </c>
      <c r="J276" s="18"/>
      <c r="K276" s="18"/>
      <c r="L276" s="19">
        <f>SUM(F276:K276)</f>
        <v>933.59999999999991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299+3731</f>
        <v>4030</v>
      </c>
      <c r="G277" s="18">
        <f>22.88+285.46</f>
        <v>308.33999999999997</v>
      </c>
      <c r="H277" s="18">
        <f>7566+7295</f>
        <v>14861</v>
      </c>
      <c r="I277" s="18">
        <f>649.49+919.68+737.88</f>
        <v>2307.0500000000002</v>
      </c>
      <c r="J277" s="18">
        <f>3868.72+306</f>
        <v>4174.7199999999993</v>
      </c>
      <c r="K277" s="18"/>
      <c r="L277" s="19">
        <f>SUM(F277:K277)</f>
        <v>25681.11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297.75</v>
      </c>
      <c r="L283" s="19">
        <f t="shared" si="12"/>
        <v>297.75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4030</v>
      </c>
      <c r="G290" s="42">
        <f t="shared" si="13"/>
        <v>308.33999999999997</v>
      </c>
      <c r="H290" s="42">
        <f t="shared" si="13"/>
        <v>15457.16</v>
      </c>
      <c r="I290" s="42">
        <f t="shared" si="13"/>
        <v>2644.4900000000002</v>
      </c>
      <c r="J290" s="42">
        <f t="shared" si="13"/>
        <v>4174.7199999999993</v>
      </c>
      <c r="K290" s="42">
        <f t="shared" si="13"/>
        <v>297.75</v>
      </c>
      <c r="L290" s="41">
        <f t="shared" si="13"/>
        <v>26912.46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4030</v>
      </c>
      <c r="G338" s="41">
        <f t="shared" si="20"/>
        <v>308.33999999999997</v>
      </c>
      <c r="H338" s="41">
        <f t="shared" si="20"/>
        <v>15457.16</v>
      </c>
      <c r="I338" s="41">
        <f t="shared" si="20"/>
        <v>2644.4900000000002</v>
      </c>
      <c r="J338" s="41">
        <f t="shared" si="20"/>
        <v>4174.7199999999993</v>
      </c>
      <c r="K338" s="41">
        <f t="shared" si="20"/>
        <v>297.75</v>
      </c>
      <c r="L338" s="41">
        <f t="shared" si="20"/>
        <v>26912.46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4030</v>
      </c>
      <c r="G352" s="41">
        <f>G338</f>
        <v>308.33999999999997</v>
      </c>
      <c r="H352" s="41">
        <f>H338</f>
        <v>15457.16</v>
      </c>
      <c r="I352" s="41">
        <f>I338</f>
        <v>2644.4900000000002</v>
      </c>
      <c r="J352" s="41">
        <f>J338</f>
        <v>4174.7199999999993</v>
      </c>
      <c r="K352" s="47">
        <f>K338+K351</f>
        <v>297.75</v>
      </c>
      <c r="L352" s="41">
        <f>L338+L351</f>
        <v>26912.46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555</v>
      </c>
      <c r="G358" s="18"/>
      <c r="H358" s="18"/>
      <c r="I358" s="18">
        <v>710.12</v>
      </c>
      <c r="J358" s="18"/>
      <c r="K358" s="18"/>
      <c r="L358" s="13">
        <f>SUM(F358:K358)</f>
        <v>1265.1199999999999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555</v>
      </c>
      <c r="G362" s="47">
        <f t="shared" si="22"/>
        <v>0</v>
      </c>
      <c r="H362" s="47">
        <f t="shared" si="22"/>
        <v>0</v>
      </c>
      <c r="I362" s="47">
        <f t="shared" si="22"/>
        <v>710.12</v>
      </c>
      <c r="J362" s="47">
        <f t="shared" si="22"/>
        <v>0</v>
      </c>
      <c r="K362" s="47">
        <f t="shared" si="22"/>
        <v>0</v>
      </c>
      <c r="L362" s="47">
        <f t="shared" si="22"/>
        <v>1265.1199999999999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710.12</v>
      </c>
      <c r="G367" s="18"/>
      <c r="H367" s="18"/>
      <c r="I367" s="56">
        <f>SUM(F367:H367)</f>
        <v>710.12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710.12</v>
      </c>
      <c r="G369" s="47">
        <f>SUM(G367:G368)</f>
        <v>0</v>
      </c>
      <c r="H369" s="47">
        <f>SUM(H367:H368)</f>
        <v>0</v>
      </c>
      <c r="I369" s="47">
        <f>SUM(I367:I368)</f>
        <v>710.12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75.650000000000006</v>
      </c>
      <c r="I389" s="18"/>
      <c r="J389" s="24" t="s">
        <v>286</v>
      </c>
      <c r="K389" s="24" t="s">
        <v>286</v>
      </c>
      <c r="L389" s="56">
        <f t="shared" si="25"/>
        <v>75.650000000000006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75.650000000000006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75.650000000000006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f>663.77+331.69</f>
        <v>995.46</v>
      </c>
      <c r="I396" s="18"/>
      <c r="J396" s="24" t="s">
        <v>286</v>
      </c>
      <c r="K396" s="24" t="s">
        <v>286</v>
      </c>
      <c r="L396" s="56">
        <f t="shared" si="26"/>
        <v>995.46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25000</v>
      </c>
      <c r="H397" s="18">
        <v>1079.7</v>
      </c>
      <c r="I397" s="18"/>
      <c r="J397" s="24" t="s">
        <v>286</v>
      </c>
      <c r="K397" s="24" t="s">
        <v>286</v>
      </c>
      <c r="L397" s="56">
        <f t="shared" si="26"/>
        <v>26079.7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172.46</v>
      </c>
      <c r="I398" s="18"/>
      <c r="J398" s="24" t="s">
        <v>286</v>
      </c>
      <c r="K398" s="24" t="s">
        <v>286</v>
      </c>
      <c r="L398" s="56">
        <f t="shared" si="26"/>
        <v>172.46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101.32</v>
      </c>
      <c r="I399" s="18"/>
      <c r="J399" s="24" t="s">
        <v>286</v>
      </c>
      <c r="K399" s="24" t="s">
        <v>286</v>
      </c>
      <c r="L399" s="56">
        <f t="shared" si="26"/>
        <v>101.32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133.32</v>
      </c>
      <c r="I400" s="18"/>
      <c r="J400" s="24" t="s">
        <v>286</v>
      </c>
      <c r="K400" s="24" t="s">
        <v>286</v>
      </c>
      <c r="L400" s="56">
        <f t="shared" si="26"/>
        <v>133.32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2482.2600000000002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27482.26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2557.9100000000003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27557.91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200591.02</v>
      </c>
      <c r="H440" s="18"/>
      <c r="I440" s="56">
        <f t="shared" si="33"/>
        <v>200591.02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200591.02</v>
      </c>
      <c r="H446" s="13">
        <f>SUM(H439:H445)</f>
        <v>0</v>
      </c>
      <c r="I446" s="13">
        <f>SUM(I439:I445)</f>
        <v>200591.02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200591.02</v>
      </c>
      <c r="H459" s="18"/>
      <c r="I459" s="56">
        <f t="shared" si="34"/>
        <v>200591.02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200591.02</v>
      </c>
      <c r="H460" s="83">
        <f>SUM(H454:H459)</f>
        <v>0</v>
      </c>
      <c r="I460" s="83">
        <f>SUM(I454:I459)</f>
        <v>200591.02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200591.02</v>
      </c>
      <c r="H461" s="42">
        <f>H452+H460</f>
        <v>0</v>
      </c>
      <c r="I461" s="42">
        <f>I452+I460</f>
        <v>200591.02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105278.41</v>
      </c>
      <c r="G465" s="18">
        <v>0</v>
      </c>
      <c r="H465" s="18">
        <v>0</v>
      </c>
      <c r="I465" s="18"/>
      <c r="J465" s="18">
        <v>173033.11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2034437.14</v>
      </c>
      <c r="G468" s="18">
        <v>1265.1199999999999</v>
      </c>
      <c r="H468" s="18">
        <v>26912.46</v>
      </c>
      <c r="I468" s="18"/>
      <c r="J468" s="18">
        <v>27557.91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2034437.14</v>
      </c>
      <c r="G470" s="53">
        <f>SUM(G468:G469)</f>
        <v>1265.1199999999999</v>
      </c>
      <c r="H470" s="53">
        <f>SUM(H468:H469)</f>
        <v>26912.46</v>
      </c>
      <c r="I470" s="53">
        <f>SUM(I468:I469)</f>
        <v>0</v>
      </c>
      <c r="J470" s="53">
        <f>SUM(J468:J469)</f>
        <v>27557.91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2014082.04</v>
      </c>
      <c r="G472" s="18">
        <v>1265.1199999999999</v>
      </c>
      <c r="H472" s="18">
        <v>26912.46</v>
      </c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2014082.04</v>
      </c>
      <c r="G474" s="53">
        <f>SUM(G472:G473)</f>
        <v>1265.1199999999999</v>
      </c>
      <c r="H474" s="53">
        <f>SUM(H472:H473)</f>
        <v>26912.46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125633.50999999978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200591.02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63451.06+78870.55+299+3731</f>
        <v>146351.60999999999</v>
      </c>
      <c r="G521" s="18">
        <f>34004.67+6890.09+22.88+285.46</f>
        <v>41203.099999999991</v>
      </c>
      <c r="H521" s="18">
        <f>152952.87+7566+7295</f>
        <v>167813.87</v>
      </c>
      <c r="I521" s="18">
        <f>1948.38+649.49+919.68+737.88</f>
        <v>4255.4299999999994</v>
      </c>
      <c r="J521" s="18">
        <v>4174.72</v>
      </c>
      <c r="K521" s="18"/>
      <c r="L521" s="88">
        <f>SUM(F521:K521)</f>
        <v>363798.72999999992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146351.60999999999</v>
      </c>
      <c r="G524" s="108">
        <f t="shared" ref="G524:L524" si="36">SUM(G521:G523)</f>
        <v>41203.099999999991</v>
      </c>
      <c r="H524" s="108">
        <f t="shared" si="36"/>
        <v>167813.87</v>
      </c>
      <c r="I524" s="108">
        <f t="shared" si="36"/>
        <v>4255.4299999999994</v>
      </c>
      <c r="J524" s="108">
        <f t="shared" si="36"/>
        <v>4174.72</v>
      </c>
      <c r="K524" s="108">
        <f t="shared" si="36"/>
        <v>0</v>
      </c>
      <c r="L524" s="89">
        <f t="shared" si="36"/>
        <v>363798.72999999992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80059+5102</f>
        <v>85161</v>
      </c>
      <c r="G531" s="18">
        <f>22619.3+1018.36</f>
        <v>23637.66</v>
      </c>
      <c r="H531" s="18"/>
      <c r="I531" s="18"/>
      <c r="J531" s="18"/>
      <c r="K531" s="18">
        <f>815+130.25+129.11+15.34+9.05</f>
        <v>1098.75</v>
      </c>
      <c r="L531" s="88">
        <f>SUM(F531:K531)</f>
        <v>109897.41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85161</v>
      </c>
      <c r="G534" s="89">
        <f t="shared" ref="G534:L534" si="38">SUM(G531:G533)</f>
        <v>23637.66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1098.75</v>
      </c>
      <c r="L534" s="89">
        <f t="shared" si="38"/>
        <v>109897.41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4888.82</v>
      </c>
      <c r="I541" s="18"/>
      <c r="J541" s="18"/>
      <c r="K541" s="18"/>
      <c r="L541" s="88">
        <f>SUM(F541:K541)</f>
        <v>4888.82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4888.82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4888.82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231512.61</v>
      </c>
      <c r="G545" s="89">
        <f t="shared" ref="G545:L545" si="41">G524+G529+G534+G539+G544</f>
        <v>64840.759999999995</v>
      </c>
      <c r="H545" s="89">
        <f t="shared" si="41"/>
        <v>172702.69</v>
      </c>
      <c r="I545" s="89">
        <f t="shared" si="41"/>
        <v>4255.4299999999994</v>
      </c>
      <c r="J545" s="89">
        <f t="shared" si="41"/>
        <v>4174.72</v>
      </c>
      <c r="K545" s="89">
        <f t="shared" si="41"/>
        <v>1098.75</v>
      </c>
      <c r="L545" s="89">
        <f t="shared" si="41"/>
        <v>478584.9599999999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363798.72999999992</v>
      </c>
      <c r="G549" s="87">
        <f>L526</f>
        <v>0</v>
      </c>
      <c r="H549" s="87">
        <f>L531</f>
        <v>109897.41</v>
      </c>
      <c r="I549" s="87">
        <f>L536</f>
        <v>0</v>
      </c>
      <c r="J549" s="87">
        <f>L541</f>
        <v>4888.82</v>
      </c>
      <c r="K549" s="87">
        <f>SUM(F549:J549)</f>
        <v>478584.9599999999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363798.72999999992</v>
      </c>
      <c r="G552" s="89">
        <f t="shared" si="42"/>
        <v>0</v>
      </c>
      <c r="H552" s="89">
        <f t="shared" si="42"/>
        <v>109897.41</v>
      </c>
      <c r="I552" s="89">
        <f t="shared" si="42"/>
        <v>0</v>
      </c>
      <c r="J552" s="89">
        <f t="shared" si="42"/>
        <v>4888.82</v>
      </c>
      <c r="K552" s="89">
        <f t="shared" si="42"/>
        <v>478584.9599999999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>
        <v>285096.36</v>
      </c>
      <c r="I576" s="87">
        <f t="shared" ref="I576:I587" si="47">SUM(F576:H576)</f>
        <v>285096.36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14981</v>
      </c>
      <c r="G579" s="18"/>
      <c r="H579" s="18"/>
      <c r="I579" s="87">
        <f t="shared" si="47"/>
        <v>14981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4990</v>
      </c>
      <c r="G582" s="18"/>
      <c r="H582" s="18"/>
      <c r="I582" s="87">
        <f t="shared" si="47"/>
        <v>4990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51524.71</v>
      </c>
      <c r="I591" s="18"/>
      <c r="J591" s="18"/>
      <c r="K591" s="104">
        <f t="shared" ref="K591:K597" si="48">SUM(H591:J591)</f>
        <v>51524.71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4888.82</v>
      </c>
      <c r="I592" s="18"/>
      <c r="J592" s="18"/>
      <c r="K592" s="104">
        <f t="shared" si="48"/>
        <v>4888.82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1770.76</v>
      </c>
      <c r="I594" s="18"/>
      <c r="J594" s="18"/>
      <c r="K594" s="104">
        <f t="shared" si="48"/>
        <v>1770.76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863.97</v>
      </c>
      <c r="I595" s="18"/>
      <c r="J595" s="18"/>
      <c r="K595" s="104">
        <f t="shared" si="48"/>
        <v>863.97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4615</v>
      </c>
      <c r="I597" s="18"/>
      <c r="J597" s="18"/>
      <c r="K597" s="104">
        <f t="shared" si="48"/>
        <v>4615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63663.26</v>
      </c>
      <c r="I598" s="108">
        <f>SUM(I591:I597)</f>
        <v>0</v>
      </c>
      <c r="J598" s="108">
        <f>SUM(J591:J597)</f>
        <v>0</v>
      </c>
      <c r="K598" s="108">
        <f>SUM(K591:K597)</f>
        <v>63663.26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4174.72+6136.49</f>
        <v>10311.209999999999</v>
      </c>
      <c r="I604" s="18"/>
      <c r="J604" s="18"/>
      <c r="K604" s="104">
        <f>SUM(H604:J604)</f>
        <v>10311.209999999999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10311.209999999999</v>
      </c>
      <c r="I605" s="108">
        <f>SUM(I602:I604)</f>
        <v>0</v>
      </c>
      <c r="J605" s="108">
        <f>SUM(J602:J604)</f>
        <v>0</v>
      </c>
      <c r="K605" s="108">
        <f>SUM(K602:K604)</f>
        <v>10311.209999999999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135088.34000000003</v>
      </c>
      <c r="H617" s="109">
        <f>SUM(F52)</f>
        <v>135088.34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46.03</v>
      </c>
      <c r="H618" s="109">
        <f>SUM(G52)</f>
        <v>46.03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5550.61</v>
      </c>
      <c r="H619" s="109">
        <f>SUM(H52)</f>
        <v>5550.61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200591.02</v>
      </c>
      <c r="H621" s="109">
        <f>SUM(J52)</f>
        <v>200591.02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125633.51</v>
      </c>
      <c r="H622" s="109">
        <f>F476</f>
        <v>125633.50999999978</v>
      </c>
      <c r="I622" s="121" t="s">
        <v>101</v>
      </c>
      <c r="J622" s="109">
        <f t="shared" ref="J622:J655" si="50">G622-H622</f>
        <v>2.1827872842550278E-10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200591.02</v>
      </c>
      <c r="H626" s="109">
        <f>J476</f>
        <v>200591.02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2034437.1400000001</v>
      </c>
      <c r="H627" s="104">
        <f>SUM(F468)</f>
        <v>2034437.14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1265.1199999999999</v>
      </c>
      <c r="H628" s="104">
        <f>SUM(G468)</f>
        <v>1265.1199999999999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26912.46</v>
      </c>
      <c r="H629" s="104">
        <f>SUM(H468)</f>
        <v>26912.46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27557.91</v>
      </c>
      <c r="H631" s="104">
        <f>SUM(J468)</f>
        <v>27557.91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2014082.0399999996</v>
      </c>
      <c r="H632" s="104">
        <f>SUM(F472)</f>
        <v>2014082.04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26912.46</v>
      </c>
      <c r="H633" s="104">
        <f>SUM(H472)</f>
        <v>26912.46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710.12</v>
      </c>
      <c r="H634" s="104">
        <f>I369</f>
        <v>710.12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1265.1199999999999</v>
      </c>
      <c r="H635" s="104">
        <f>SUM(G472)</f>
        <v>1265.1199999999999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27557.91</v>
      </c>
      <c r="H637" s="164">
        <f>SUM(J468)</f>
        <v>27557.91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200591.02</v>
      </c>
      <c r="H640" s="104">
        <f>SUM(G461)</f>
        <v>200591.02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200591.02</v>
      </c>
      <c r="H642" s="104">
        <f>SUM(I461)</f>
        <v>200591.02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2557.91</v>
      </c>
      <c r="H644" s="104">
        <f>H408</f>
        <v>2557.9100000000003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</v>
      </c>
      <c r="H645" s="104">
        <f>G408</f>
        <v>25000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27557.91</v>
      </c>
      <c r="H646" s="104">
        <f>L408</f>
        <v>27557.91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63663.26</v>
      </c>
      <c r="H647" s="104">
        <f>L208+L226+L244</f>
        <v>63663.26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10311.209999999999</v>
      </c>
      <c r="H648" s="104">
        <f>(J257+J338)-(J255+J336)</f>
        <v>10311.209999999999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63663.26</v>
      </c>
      <c r="H649" s="104">
        <f>H598</f>
        <v>63663.26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108.13</v>
      </c>
      <c r="H652" s="104">
        <f>K263+K345</f>
        <v>108.13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</v>
      </c>
      <c r="H655" s="104">
        <f>K266+K347</f>
        <v>25000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1732055.13</v>
      </c>
      <c r="G660" s="19">
        <f>(L229+L309+L359)</f>
        <v>0</v>
      </c>
      <c r="H660" s="19">
        <f>(L247+L328+L360)</f>
        <v>285096.36</v>
      </c>
      <c r="I660" s="19">
        <f>SUM(F660:H660)</f>
        <v>2017151.4899999998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590.79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590.79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63663.26</v>
      </c>
      <c r="G662" s="19">
        <f>(L226+L306)-(J226+J306)</f>
        <v>0</v>
      </c>
      <c r="H662" s="19">
        <f>(L244+L325)-(J244+J325)</f>
        <v>0</v>
      </c>
      <c r="I662" s="19">
        <f>SUM(F662:H662)</f>
        <v>63663.26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30282.21</v>
      </c>
      <c r="G663" s="199">
        <f>SUM(G575:G587)+SUM(I602:I604)+L612</f>
        <v>0</v>
      </c>
      <c r="H663" s="199">
        <f>SUM(H575:H587)+SUM(J602:J604)+L613</f>
        <v>285096.36</v>
      </c>
      <c r="I663" s="19">
        <f>SUM(F663:H663)</f>
        <v>315378.57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1637518.8699999999</v>
      </c>
      <c r="G664" s="19">
        <f>G660-SUM(G661:G663)</f>
        <v>0</v>
      </c>
      <c r="H664" s="19">
        <f>H660-SUM(H661:H663)</f>
        <v>0</v>
      </c>
      <c r="I664" s="19">
        <f>I660-SUM(I661:I663)</f>
        <v>1637518.8699999996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74.319999999999993</v>
      </c>
      <c r="G665" s="248"/>
      <c r="H665" s="248"/>
      <c r="I665" s="19">
        <f>SUM(F665:H665)</f>
        <v>74.319999999999993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22033.35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22033.35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22033.35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22033.35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SOUTH HAMPTON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482163.5</v>
      </c>
      <c r="C9" s="229">
        <f>'DOE25'!G197+'DOE25'!G215+'DOE25'!G233+'DOE25'!G276+'DOE25'!G295+'DOE25'!G314</f>
        <v>145694.74</v>
      </c>
    </row>
    <row r="10" spans="1:3" x14ac:dyDescent="0.2">
      <c r="A10" t="s">
        <v>773</v>
      </c>
      <c r="B10" s="240">
        <v>446109.88</v>
      </c>
      <c r="C10" s="240">
        <v>142681.94</v>
      </c>
    </row>
    <row r="11" spans="1:3" x14ac:dyDescent="0.2">
      <c r="A11" t="s">
        <v>774</v>
      </c>
      <c r="B11" s="240">
        <v>21747.62</v>
      </c>
      <c r="C11" s="240"/>
    </row>
    <row r="12" spans="1:3" x14ac:dyDescent="0.2">
      <c r="A12" t="s">
        <v>775</v>
      </c>
      <c r="B12" s="240">
        <v>14306</v>
      </c>
      <c r="C12" s="240">
        <f>1906.95+1105.85</f>
        <v>3012.8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482163.5</v>
      </c>
      <c r="C13" s="231">
        <f>SUM(C10:C12)</f>
        <v>145694.74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231512.61</v>
      </c>
      <c r="C18" s="229">
        <f>'DOE25'!G198+'DOE25'!G216+'DOE25'!G234+'DOE25'!G277+'DOE25'!G296+'DOE25'!G315</f>
        <v>64840.77</v>
      </c>
    </row>
    <row r="19" spans="1:3" x14ac:dyDescent="0.2">
      <c r="A19" t="s">
        <v>773</v>
      </c>
      <c r="B19" s="240">
        <v>63451.06</v>
      </c>
      <c r="C19" s="240">
        <v>34004.68</v>
      </c>
    </row>
    <row r="20" spans="1:3" x14ac:dyDescent="0.2">
      <c r="A20" t="s">
        <v>774</v>
      </c>
      <c r="B20" s="240">
        <f>4030+78870.55</f>
        <v>82900.55</v>
      </c>
      <c r="C20" s="240">
        <f>308.34+6890.09</f>
        <v>7198.43</v>
      </c>
    </row>
    <row r="21" spans="1:3" x14ac:dyDescent="0.2">
      <c r="A21" t="s">
        <v>775</v>
      </c>
      <c r="B21" s="240">
        <f>80059+5102</f>
        <v>85161</v>
      </c>
      <c r="C21" s="240">
        <f>22619.3+1018.36</f>
        <v>23637.66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231512.61</v>
      </c>
      <c r="C22" s="231">
        <f>SUM(C19:C21)</f>
        <v>64840.770000000004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8020</v>
      </c>
      <c r="C36" s="235">
        <f>'DOE25'!G200+'DOE25'!G218+'DOE25'!G236+'DOE25'!G279+'DOE25'!G298+'DOE25'!G317</f>
        <v>656.04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8020</v>
      </c>
      <c r="C39" s="240">
        <v>656.04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8020</v>
      </c>
      <c r="C40" s="231">
        <f>SUM(C37:C39)</f>
        <v>656.04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SOUTH HAMPTON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1403197.02</v>
      </c>
      <c r="D5" s="20">
        <f>SUM('DOE25'!L197:L200)+SUM('DOE25'!L215:L218)+SUM('DOE25'!L233:L236)-F5-G5</f>
        <v>1402382.02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815</v>
      </c>
      <c r="H5" s="259"/>
    </row>
    <row r="6" spans="1:9" x14ac:dyDescent="0.2">
      <c r="A6" s="32">
        <v>2100</v>
      </c>
      <c r="B6" t="s">
        <v>795</v>
      </c>
      <c r="C6" s="245">
        <f t="shared" si="0"/>
        <v>91872.77</v>
      </c>
      <c r="D6" s="20">
        <f>'DOE25'!L202+'DOE25'!L220+'DOE25'!L238-F6-G6</f>
        <v>91716.58</v>
      </c>
      <c r="E6" s="243"/>
      <c r="F6" s="255">
        <f>'DOE25'!J202+'DOE25'!J220+'DOE25'!J238</f>
        <v>156.19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67822.010000000009</v>
      </c>
      <c r="D7" s="20">
        <f>'DOE25'!L203+'DOE25'!L221+'DOE25'!L239-F7-G7</f>
        <v>63871.060000000012</v>
      </c>
      <c r="E7" s="243"/>
      <c r="F7" s="255">
        <f>'DOE25'!J203+'DOE25'!J221+'DOE25'!J239</f>
        <v>3950.95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23918.240000000002</v>
      </c>
      <c r="D8" s="243"/>
      <c r="E8" s="20">
        <f>'DOE25'!L204+'DOE25'!L222+'DOE25'!L240-F8-G8-D9-D11</f>
        <v>20526.72</v>
      </c>
      <c r="F8" s="255">
        <f>'DOE25'!J204+'DOE25'!J222+'DOE25'!J240</f>
        <v>0</v>
      </c>
      <c r="G8" s="53">
        <f>'DOE25'!K204+'DOE25'!K222+'DOE25'!K240</f>
        <v>3391.52</v>
      </c>
      <c r="H8" s="259"/>
    </row>
    <row r="9" spans="1:9" x14ac:dyDescent="0.2">
      <c r="A9" s="32">
        <v>2310</v>
      </c>
      <c r="B9" t="s">
        <v>812</v>
      </c>
      <c r="C9" s="245">
        <f t="shared" si="0"/>
        <v>18640.48</v>
      </c>
      <c r="D9" s="244">
        <v>18640.48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7450</v>
      </c>
      <c r="D10" s="243"/>
      <c r="E10" s="244">
        <v>7450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11948.26</v>
      </c>
      <c r="D11" s="244">
        <v>11948.26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178360.27000000002</v>
      </c>
      <c r="D12" s="20">
        <f>'DOE25'!L205+'DOE25'!L223+'DOE25'!L241-F12-G12</f>
        <v>177580.27000000002</v>
      </c>
      <c r="E12" s="243"/>
      <c r="F12" s="255">
        <f>'DOE25'!J205+'DOE25'!J223+'DOE25'!J241</f>
        <v>0</v>
      </c>
      <c r="G12" s="53">
        <f>'DOE25'!K205+'DOE25'!K223+'DOE25'!K241</f>
        <v>780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35137.4</v>
      </c>
      <c r="D13" s="243"/>
      <c r="E13" s="20">
        <f>'DOE25'!L206+'DOE25'!L224+'DOE25'!L242-F13-G13</f>
        <v>35137.4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94373.800000000017</v>
      </c>
      <c r="D14" s="20">
        <f>'DOE25'!L207+'DOE25'!L225+'DOE25'!L243-F14-G14</f>
        <v>92344.450000000012</v>
      </c>
      <c r="E14" s="243"/>
      <c r="F14" s="255">
        <f>'DOE25'!J207+'DOE25'!J225+'DOE25'!J243</f>
        <v>2029.35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63663.26</v>
      </c>
      <c r="D15" s="20">
        <f>'DOE25'!L208+'DOE25'!L226+'DOE25'!L244-F15-G15</f>
        <v>63663.26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40.4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40.4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554.99999999999989</v>
      </c>
      <c r="D29" s="20">
        <f>'DOE25'!L358+'DOE25'!L359+'DOE25'!L360-'DOE25'!I367-F29-G29</f>
        <v>554.99999999999989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26912.46</v>
      </c>
      <c r="D31" s="20">
        <f>'DOE25'!L290+'DOE25'!L309+'DOE25'!L328+'DOE25'!L333+'DOE25'!L334+'DOE25'!L335-F31-G31</f>
        <v>22439.989999999998</v>
      </c>
      <c r="E31" s="243"/>
      <c r="F31" s="255">
        <f>'DOE25'!J290+'DOE25'!J309+'DOE25'!J328+'DOE25'!J333+'DOE25'!J334+'DOE25'!J335</f>
        <v>4174.7199999999993</v>
      </c>
      <c r="G31" s="53">
        <f>'DOE25'!K290+'DOE25'!K309+'DOE25'!K328+'DOE25'!K333+'DOE25'!K334+'DOE25'!K335</f>
        <v>297.75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1945141.37</v>
      </c>
      <c r="E33" s="246">
        <f>SUM(E5:E31)</f>
        <v>63114.12</v>
      </c>
      <c r="F33" s="246">
        <f>SUM(F5:F31)</f>
        <v>10311.209999999999</v>
      </c>
      <c r="G33" s="246">
        <f>SUM(G5:G31)</f>
        <v>5324.67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63114.12</v>
      </c>
      <c r="E35" s="249"/>
    </row>
    <row r="36" spans="2:8" ht="12" thickTop="1" x14ac:dyDescent="0.2">
      <c r="B36" t="s">
        <v>809</v>
      </c>
      <c r="D36" s="20">
        <f>D33</f>
        <v>1945141.37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SOUTH HAMPTON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127167.28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200591.02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5596.64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974.07</v>
      </c>
      <c r="D12" s="95">
        <f>'DOE25'!G13</f>
        <v>46.03</v>
      </c>
      <c r="E12" s="95">
        <f>'DOE25'!H13</f>
        <v>5550.61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899.1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451.25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135088.34000000003</v>
      </c>
      <c r="D18" s="41">
        <f>SUM(D8:D17)</f>
        <v>46.03</v>
      </c>
      <c r="E18" s="41">
        <f>SUM(E8:E17)</f>
        <v>5550.61</v>
      </c>
      <c r="F18" s="41">
        <f>SUM(F8:F17)</f>
        <v>0</v>
      </c>
      <c r="G18" s="41">
        <f>SUM(G8:G17)</f>
        <v>200591.02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46.03</v>
      </c>
      <c r="E21" s="95">
        <f>'DOE25'!H22</f>
        <v>5550.61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7377.61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1017.79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1059.4299999999998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9454.83</v>
      </c>
      <c r="D31" s="41">
        <f>SUM(D21:D30)</f>
        <v>46.03</v>
      </c>
      <c r="E31" s="41">
        <f>SUM(E21:E30)</f>
        <v>5550.61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451.25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37500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12568.68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2517.79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200591.02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135.44999999999999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72460.34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125633.51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200591.02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135088.34</v>
      </c>
      <c r="D51" s="41">
        <f>D50+D31</f>
        <v>46.03</v>
      </c>
      <c r="E51" s="41">
        <f>E50+E31</f>
        <v>5550.61</v>
      </c>
      <c r="F51" s="41">
        <f>F50+F31</f>
        <v>0</v>
      </c>
      <c r="G51" s="41">
        <f>G50+G31</f>
        <v>200591.02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1618149.07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321.01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2557.91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590.79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105.51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426.52</v>
      </c>
      <c r="D62" s="130">
        <f>SUM(D57:D61)</f>
        <v>590.79</v>
      </c>
      <c r="E62" s="130">
        <f>SUM(E57:E61)</f>
        <v>0</v>
      </c>
      <c r="F62" s="130">
        <f>SUM(F57:F61)</f>
        <v>0</v>
      </c>
      <c r="G62" s="130">
        <f>SUM(G57:G61)</f>
        <v>2557.91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1618575.59</v>
      </c>
      <c r="D63" s="22">
        <f>D56+D62</f>
        <v>590.79</v>
      </c>
      <c r="E63" s="22">
        <f>E56+E62</f>
        <v>0</v>
      </c>
      <c r="F63" s="22">
        <f>F56+F62</f>
        <v>0</v>
      </c>
      <c r="G63" s="22">
        <f>G56+G62</f>
        <v>2557.91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67633.2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319060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386693.2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7227.68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7227.68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393920.88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9995.9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11944.77</v>
      </c>
      <c r="D88" s="95">
        <f>SUM('DOE25'!G153:G161)</f>
        <v>566.20000000000005</v>
      </c>
      <c r="E88" s="95">
        <f>SUM('DOE25'!H153:H161)</f>
        <v>26912.46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21940.67</v>
      </c>
      <c r="D91" s="131">
        <f>SUM(D85:D90)</f>
        <v>566.20000000000005</v>
      </c>
      <c r="E91" s="131">
        <f>SUM(E85:E90)</f>
        <v>26912.46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108.13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108.13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759</v>
      </c>
      <c r="C104" s="86">
        <f>C63+C81+C91+C103</f>
        <v>2034437.1400000001</v>
      </c>
      <c r="D104" s="86">
        <f>D63+D81+D91+D103</f>
        <v>1265.1199999999999</v>
      </c>
      <c r="E104" s="86">
        <f>E63+E81+E91+E103</f>
        <v>26912.46</v>
      </c>
      <c r="F104" s="86">
        <f>F63+F81+F91+F103</f>
        <v>0</v>
      </c>
      <c r="G104" s="86">
        <f>G63+G81+G103</f>
        <v>27557.91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944160.55</v>
      </c>
      <c r="D109" s="24" t="s">
        <v>286</v>
      </c>
      <c r="E109" s="95">
        <f>('DOE25'!L276)+('DOE25'!L295)+('DOE25'!L314)</f>
        <v>933.59999999999991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447731.29</v>
      </c>
      <c r="D110" s="24" t="s">
        <v>286</v>
      </c>
      <c r="E110" s="95">
        <f>('DOE25'!L277)+('DOE25'!L296)+('DOE25'!L315)</f>
        <v>25681.11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11305.18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1403197.02</v>
      </c>
      <c r="D115" s="86">
        <f>SUM(D109:D114)</f>
        <v>0</v>
      </c>
      <c r="E115" s="86">
        <f>SUM(E109:E114)</f>
        <v>26614.71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91872.77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67822.010000000009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54506.979999999996</v>
      </c>
      <c r="D120" s="24" t="s">
        <v>286</v>
      </c>
      <c r="E120" s="95">
        <f>+('DOE25'!L283)+('DOE25'!L302)+('DOE25'!L321)</f>
        <v>297.75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178360.27000000002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35137.4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94373.800000000017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63663.26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40.4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1265.1199999999999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585776.89000000013</v>
      </c>
      <c r="D128" s="86">
        <f>SUM(D118:D127)</f>
        <v>1265.1199999999999</v>
      </c>
      <c r="E128" s="86">
        <f>SUM(E118:E127)</f>
        <v>297.75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108.13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75.650000000000006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27482.26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-2557.91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25108.129999999997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2014082.04</v>
      </c>
      <c r="D145" s="86">
        <f>(D115+D128+D144)</f>
        <v>1265.1199999999999</v>
      </c>
      <c r="E145" s="86">
        <f>(E115+E128+E144)</f>
        <v>26912.46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SOUTH HAMPTON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22033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22033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945094</v>
      </c>
      <c r="D10" s="182">
        <f>ROUND((C10/$C$28)*100,1)</f>
        <v>46.9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473412</v>
      </c>
      <c r="D11" s="182">
        <f>ROUND((C11/$C$28)*100,1)</f>
        <v>23.5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11305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91873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67822</v>
      </c>
      <c r="D16" s="182">
        <f t="shared" si="0"/>
        <v>3.4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54845</v>
      </c>
      <c r="D17" s="182">
        <f t="shared" si="0"/>
        <v>2.7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178360</v>
      </c>
      <c r="D18" s="182">
        <f t="shared" si="0"/>
        <v>8.8000000000000007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35137</v>
      </c>
      <c r="D19" s="182">
        <f t="shared" si="0"/>
        <v>1.7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94374</v>
      </c>
      <c r="D20" s="182">
        <f t="shared" si="0"/>
        <v>4.7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63663</v>
      </c>
      <c r="D21" s="182">
        <f t="shared" si="0"/>
        <v>3.2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674.21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2016559.21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2016559.21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1618149</v>
      </c>
      <c r="D35" s="182">
        <f t="shared" ref="D35:D40" si="1">ROUND((C35/$C$41)*100,1)</f>
        <v>78.400000000000006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2984.5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386693</v>
      </c>
      <c r="D37" s="182">
        <f t="shared" si="1"/>
        <v>18.7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7228</v>
      </c>
      <c r="D38" s="182">
        <f t="shared" si="1"/>
        <v>0.4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49419</v>
      </c>
      <c r="D39" s="182">
        <f t="shared" si="1"/>
        <v>2.4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2064473.5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SOUTH HAMPTON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2018-08-22T19:04:19Z</cp:lastPrinted>
  <dcterms:created xsi:type="dcterms:W3CDTF">1997-12-04T19:04:30Z</dcterms:created>
  <dcterms:modified xsi:type="dcterms:W3CDTF">2018-11-30T16:14:35Z</dcterms:modified>
</cp:coreProperties>
</file>