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11" i="12" l="1"/>
  <c r="G611" i="1"/>
  <c r="I521" i="1"/>
  <c r="H526" i="1"/>
  <c r="I531" i="1"/>
  <c r="K531" i="1"/>
  <c r="H531" i="1"/>
  <c r="I526" i="1"/>
  <c r="G521" i="1"/>
  <c r="F521" i="1"/>
  <c r="H358" i="1"/>
  <c r="F276" i="1"/>
  <c r="H281" i="1"/>
  <c r="J276" i="1"/>
  <c r="I276" i="1"/>
  <c r="H276" i="1"/>
  <c r="G276" i="1"/>
  <c r="H208" i="1"/>
  <c r="J207" i="1"/>
  <c r="I207" i="1"/>
  <c r="H207" i="1"/>
  <c r="G207" i="1"/>
  <c r="F207" i="1"/>
  <c r="K205" i="1"/>
  <c r="I205" i="1"/>
  <c r="H205" i="1"/>
  <c r="G205" i="1"/>
  <c r="F205" i="1"/>
  <c r="I203" i="1"/>
  <c r="G203" i="1"/>
  <c r="F203" i="1"/>
  <c r="H203" i="1"/>
  <c r="I202" i="1"/>
  <c r="H202" i="1"/>
  <c r="F12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C110" i="2" s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6" i="10" s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F19" i="13"/>
  <c r="D19" i="13" s="1"/>
  <c r="C19" i="13" s="1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C11" i="10" s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8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E62" i="2" s="1"/>
  <c r="E63" i="2" s="1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1" i="2" s="1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E112" i="2"/>
  <c r="C113" i="2"/>
  <c r="E113" i="2"/>
  <c r="C114" i="2"/>
  <c r="E114" i="2"/>
  <c r="D115" i="2"/>
  <c r="F115" i="2"/>
  <c r="G115" i="2"/>
  <c r="E118" i="2"/>
  <c r="E119" i="2"/>
  <c r="E120" i="2"/>
  <c r="C121" i="2"/>
  <c r="E121" i="2"/>
  <c r="C122" i="2"/>
  <c r="E122" i="2"/>
  <c r="C123" i="2"/>
  <c r="E123" i="2"/>
  <c r="E124" i="2"/>
  <c r="C125" i="2"/>
  <c r="E125" i="2"/>
  <c r="E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G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I257" i="1" s="1"/>
  <c r="I271" i="1" s="1"/>
  <c r="J211" i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J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F476" i="1" s="1"/>
  <c r="H622" i="1" s="1"/>
  <c r="G470" i="1"/>
  <c r="H470" i="1"/>
  <c r="I470" i="1"/>
  <c r="J470" i="1"/>
  <c r="J476" i="1" s="1"/>
  <c r="H626" i="1" s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I524" i="1"/>
  <c r="J524" i="1"/>
  <c r="K524" i="1"/>
  <c r="K545" i="1" s="1"/>
  <c r="F529" i="1"/>
  <c r="G529" i="1"/>
  <c r="H529" i="1"/>
  <c r="H545" i="1" s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J640" i="1" s="1"/>
  <c r="G641" i="1"/>
  <c r="H641" i="1"/>
  <c r="H642" i="1"/>
  <c r="G643" i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F192" i="1"/>
  <c r="L256" i="1"/>
  <c r="C26" i="10"/>
  <c r="L328" i="1"/>
  <c r="L351" i="1"/>
  <c r="D18" i="13"/>
  <c r="C18" i="13" s="1"/>
  <c r="F78" i="2"/>
  <c r="D50" i="2"/>
  <c r="D91" i="2"/>
  <c r="E13" i="13"/>
  <c r="C13" i="13" s="1"/>
  <c r="E78" i="2"/>
  <c r="L427" i="1"/>
  <c r="J257" i="1"/>
  <c r="J271" i="1" s="1"/>
  <c r="H112" i="1"/>
  <c r="J641" i="1"/>
  <c r="J639" i="1"/>
  <c r="J571" i="1"/>
  <c r="K571" i="1"/>
  <c r="L433" i="1"/>
  <c r="L419" i="1"/>
  <c r="I169" i="1"/>
  <c r="H169" i="1"/>
  <c r="J643" i="1"/>
  <c r="H476" i="1"/>
  <c r="H624" i="1" s="1"/>
  <c r="J624" i="1" s="1"/>
  <c r="F169" i="1"/>
  <c r="J140" i="1"/>
  <c r="F571" i="1"/>
  <c r="I552" i="1"/>
  <c r="K550" i="1"/>
  <c r="G22" i="2"/>
  <c r="J552" i="1"/>
  <c r="C29" i="10"/>
  <c r="H140" i="1"/>
  <c r="L401" i="1"/>
  <c r="C139" i="2" s="1"/>
  <c r="L393" i="1"/>
  <c r="A13" i="12"/>
  <c r="F22" i="13"/>
  <c r="H25" i="13"/>
  <c r="C25" i="13" s="1"/>
  <c r="J634" i="1"/>
  <c r="H571" i="1"/>
  <c r="L560" i="1"/>
  <c r="J545" i="1"/>
  <c r="G192" i="1"/>
  <c r="H192" i="1"/>
  <c r="C35" i="10"/>
  <c r="L309" i="1"/>
  <c r="E16" i="13"/>
  <c r="C16" i="13" s="1"/>
  <c r="J655" i="1"/>
  <c r="J645" i="1"/>
  <c r="L570" i="1"/>
  <c r="I571" i="1"/>
  <c r="J636" i="1"/>
  <c r="G36" i="2"/>
  <c r="L565" i="1"/>
  <c r="K551" i="1"/>
  <c r="C22" i="13"/>
  <c r="C138" i="2"/>
  <c r="A31" i="12" l="1"/>
  <c r="C109" i="2"/>
  <c r="L614" i="1"/>
  <c r="K598" i="1"/>
  <c r="G647" i="1" s="1"/>
  <c r="L534" i="1"/>
  <c r="K549" i="1"/>
  <c r="K552" i="1" s="1"/>
  <c r="G156" i="2"/>
  <c r="I545" i="1"/>
  <c r="D12" i="13"/>
  <c r="C12" i="13" s="1"/>
  <c r="F552" i="1"/>
  <c r="L524" i="1"/>
  <c r="E103" i="2"/>
  <c r="C70" i="2"/>
  <c r="D18" i="2"/>
  <c r="F18" i="2"/>
  <c r="G157" i="2"/>
  <c r="H33" i="13"/>
  <c r="F81" i="2"/>
  <c r="D62" i="2"/>
  <c r="D63" i="2" s="1"/>
  <c r="D31" i="2"/>
  <c r="D51" i="2" s="1"/>
  <c r="E81" i="2"/>
  <c r="D29" i="13"/>
  <c r="C29" i="13" s="1"/>
  <c r="C18" i="2"/>
  <c r="I476" i="1"/>
  <c r="H625" i="1" s="1"/>
  <c r="J625" i="1" s="1"/>
  <c r="D127" i="2"/>
  <c r="D128" i="2" s="1"/>
  <c r="D145" i="2" s="1"/>
  <c r="G661" i="1"/>
  <c r="I661" i="1" s="1"/>
  <c r="C15" i="10"/>
  <c r="E110" i="2"/>
  <c r="L290" i="1"/>
  <c r="E109" i="2"/>
  <c r="I662" i="1"/>
  <c r="G649" i="1"/>
  <c r="J649" i="1" s="1"/>
  <c r="D15" i="13"/>
  <c r="C15" i="13" s="1"/>
  <c r="H647" i="1"/>
  <c r="C124" i="2"/>
  <c r="D14" i="13"/>
  <c r="C14" i="13" s="1"/>
  <c r="H257" i="1"/>
  <c r="H271" i="1" s="1"/>
  <c r="E8" i="13"/>
  <c r="C8" i="13" s="1"/>
  <c r="C120" i="2"/>
  <c r="F257" i="1"/>
  <c r="F271" i="1" s="1"/>
  <c r="L247" i="1"/>
  <c r="H660" i="1" s="1"/>
  <c r="H664" i="1" s="1"/>
  <c r="H672" i="1" s="1"/>
  <c r="C6" i="10" s="1"/>
  <c r="E33" i="13"/>
  <c r="D35" i="13" s="1"/>
  <c r="D7" i="13"/>
  <c r="C7" i="13" s="1"/>
  <c r="L211" i="1"/>
  <c r="C119" i="2"/>
  <c r="C118" i="2"/>
  <c r="D6" i="13"/>
  <c r="C6" i="13" s="1"/>
  <c r="C112" i="2"/>
  <c r="D5" i="13"/>
  <c r="C5" i="13" s="1"/>
  <c r="C10" i="10"/>
  <c r="C81" i="2"/>
  <c r="C62" i="2"/>
  <c r="C63" i="2" s="1"/>
  <c r="F112" i="1"/>
  <c r="J617" i="1"/>
  <c r="J62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C36" i="10"/>
  <c r="G63" i="2"/>
  <c r="G104" i="2" s="1"/>
  <c r="J618" i="1"/>
  <c r="G42" i="2"/>
  <c r="G50" i="2" s="1"/>
  <c r="J51" i="1"/>
  <c r="G16" i="2"/>
  <c r="G18" i="2" s="1"/>
  <c r="J19" i="1"/>
  <c r="G621" i="1" s="1"/>
  <c r="F545" i="1"/>
  <c r="H434" i="1"/>
  <c r="J620" i="1"/>
  <c r="J619" i="1"/>
  <c r="D103" i="2"/>
  <c r="I140" i="1"/>
  <c r="I193" i="1" s="1"/>
  <c r="G630" i="1" s="1"/>
  <c r="J630" i="1" s="1"/>
  <c r="A22" i="12"/>
  <c r="H648" i="1"/>
  <c r="J648" i="1" s="1"/>
  <c r="J652" i="1"/>
  <c r="J642" i="1"/>
  <c r="G571" i="1"/>
  <c r="I434" i="1"/>
  <c r="G434" i="1"/>
  <c r="I663" i="1"/>
  <c r="C27" i="10"/>
  <c r="G635" i="1"/>
  <c r="J635" i="1" s="1"/>
  <c r="C115" i="2" l="1"/>
  <c r="J647" i="1"/>
  <c r="L545" i="1"/>
  <c r="D104" i="2"/>
  <c r="G51" i="2"/>
  <c r="E104" i="2"/>
  <c r="H646" i="1"/>
  <c r="J646" i="1" s="1"/>
  <c r="D31" i="13"/>
  <c r="C31" i="13" s="1"/>
  <c r="F660" i="1"/>
  <c r="F664" i="1" s="1"/>
  <c r="F672" i="1" s="1"/>
  <c r="C4" i="10" s="1"/>
  <c r="E115" i="2"/>
  <c r="E145" i="2" s="1"/>
  <c r="L257" i="1"/>
  <c r="L271" i="1" s="1"/>
  <c r="G632" i="1" s="1"/>
  <c r="J632" i="1" s="1"/>
  <c r="C128" i="2"/>
  <c r="H667" i="1"/>
  <c r="C28" i="10"/>
  <c r="D19" i="10" s="1"/>
  <c r="C104" i="2"/>
  <c r="G672" i="1"/>
  <c r="C5" i="10" s="1"/>
  <c r="F193" i="1"/>
  <c r="G627" i="1" s="1"/>
  <c r="J627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I660" i="1"/>
  <c r="I664" i="1" s="1"/>
  <c r="I672" i="1" s="1"/>
  <c r="C7" i="10" s="1"/>
  <c r="F667" i="1"/>
  <c r="D33" i="13"/>
  <c r="D36" i="13" s="1"/>
  <c r="D22" i="10"/>
  <c r="D13" i="10"/>
  <c r="D11" i="10"/>
  <c r="D17" i="10"/>
  <c r="D27" i="10"/>
  <c r="D21" i="10"/>
  <c r="D18" i="10"/>
  <c r="D12" i="10"/>
  <c r="D24" i="10"/>
  <c r="D10" i="10"/>
  <c r="D26" i="10"/>
  <c r="C30" i="10"/>
  <c r="D16" i="10"/>
  <c r="D23" i="10"/>
  <c r="D20" i="10"/>
  <c r="D15" i="10"/>
  <c r="D25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<sst xmlns="http://schemas.openxmlformats.org/spreadsheetml/2006/main" count="3957" uniqueCount="913">
  <si>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</si>
  <si>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</si>
  <si>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</si>
  <si>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</si>
  <si>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</si>
  <si>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</si>
  <si>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</si>
  <si>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</si>
  <si>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</si>
  <si>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</si>
  <si>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</si>
  <si>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</si>
  <si>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</si>
  <si>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</si>
  <si>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</si>
  <si>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</si>
  <si>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</si>
  <si>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</si>
  <si>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</si>
  <si>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</si>
  <si>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</si>
  <si>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</si>
  <si>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</si>
  <si>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</si>
  <si>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</si>
  <si>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</si>
  <si>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</si>
  <si>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</si>
  <si>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</si>
  <si>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</si>
  <si>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</si>
  <si>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</si>
  <si>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</si>
  <si>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</si>
  <si>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</si>
  <si>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</si>
  <si>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</si>
  <si>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</si>
  <si>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</si>
  <si>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</si>
  <si>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</si>
  <si>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</si>
  <si>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</si>
  <si>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</si>
  <si>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</si>
  <si>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</si>
  <si>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</si>
  <si>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</si>
  <si>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</si>
  <si>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</si>
  <si>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</si>
  <si>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</si>
  <si>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</si>
  <si>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</si>
  <si>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</si>
  <si>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</si>
  <si>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</si>
  <si>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</si>
  <si>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</si>
  <si>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</si>
  <si>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</si>
  <si>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</si>
  <si>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</si>
  <si>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</si>
  <si>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</si>
  <si>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</si>
  <si>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</si>
  <si>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</si>
  <si>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</si>
  <si>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</si>
  <si>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</si>
  <si>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</si>
  <si>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</si>
  <si>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</si>
  <si>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</si>
  <si>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</si>
  <si>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</si>
  <si>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</si>
  <si>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</si>
  <si>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</si>
  <si>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</si>
  <si>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</si>
  <si>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</si>
  <si>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</si>
  <si>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</si>
  <si>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</si>
  <si>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</si>
  <si>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</si>
  <si>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</si>
  <si>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</si>
  <si>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</si>
  <si>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</si>
  <si>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</si>
  <si>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</si>
  <si>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</si>
  <si>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</si>
  <si>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</si>
  <si>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</si>
  <si>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</si>
  <si>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</si>
  <si>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</si>
  <si>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</si>
  <si>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</si>
  <si>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</si>
  <si>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</si>
  <si>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</si>
  <si>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</si>
  <si>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</si>
  <si>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</si>
  <si>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</si>
  <si>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</si>
  <si>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</si>
  <si>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</si>
  <si>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</si>
  <si>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</si>
  <si>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</si>
  <si>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</si>
  <si>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</si>
  <si>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</si>
  <si>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</si>
  <si>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</si>
  <si>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</si>
  <si>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</si>
  <si>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</si>
  <si>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</si>
  <si>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</si>
  <si>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</si>
  <si>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</si>
  <si>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</si>
  <si>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</si>
  <si>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</si>
  <si>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</si>
  <si>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</si>
  <si>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</si>
  <si>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</si>
  <si>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</si>
  <si>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</si>
  <si>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</si>
  <si>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</si>
  <si>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</si>
  <si>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</si>
  <si>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</si>
  <si>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</si>
  <si>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</si>
  <si>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</si>
  <si>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</si>
  <si>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</si>
  <si>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</si>
  <si>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</si>
  <si>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</si>
  <si>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</si>
  <si>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</si>
  <si>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</si>
  <si>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</si>
  <si>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</si>
  <si>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</si>
  <si>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</si>
  <si>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</si>
  <si>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</si>
  <si>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</si>
  <si>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</si>
  <si>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</si>
  <si>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</si>
  <si>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</si>
  <si>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</si>
  <si>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</si>
  <si>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</si>
  <si>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</si>
  <si>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</si>
  <si>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</si>
  <si>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</si>
  <si>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</si>
  <si>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</si>
  <si>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</si>
  <si>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</si>
  <si>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</si>
  <si>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</si>
  <si>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</si>
  <si>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</si>
  <si>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</si>
  <si>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</si>
  <si>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</si>
  <si>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</si>
  <si>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</si>
  <si>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</si>
  <si>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</si>
  <si>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</si>
  <si>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</si>
  <si>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</si>
  <si>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</si>
  <si>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</si>
  <si>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</si>
  <si>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</si>
  <si>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</si>
  <si>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</si>
  <si>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</si>
  <si>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</si>
  <si>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</si>
  <si>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</si>
  <si>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</si>
  <si>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</si>
  <si>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</si>
  <si>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</si>
  <si>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</si>
  <si>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</si>
  <si>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</si>
  <si>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</si>
  <si>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</si>
  <si>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</si>
  <si>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</si>
  <si>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</si>
  <si>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</si>
  <si>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</si>
  <si>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</si>
  <si>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</si>
  <si>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</si>
  <si>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</si>
  <si>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</si>
  <si>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</si>
  <si>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</si>
  <si>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</si>
  <si>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</si>
  <si>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</si>
  <si>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</si>
  <si>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</si>
  <si>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</si>
  <si>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</si>
  <si>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</si>
  <si>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</si>
  <si>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</si>
  <si>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</si>
  <si>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</si>
  <si>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</si>
  <si>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</si>
  <si>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</si>
  <si>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</si>
  <si>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</si>
  <si>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</si>
  <si>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</si>
  <si>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</si>
  <si>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</si>
  <si>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</si>
  <si>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</si>
  <si>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</si>
  <si>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</si>
  <si>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</si>
  <si>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</si>
  <si>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</si>
  <si>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</si>
  <si>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</si>
  <si>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</si>
  <si>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</si>
  <si>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</si>
  <si>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</si>
  <si>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</si>
  <si>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</si>
  <si>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</si>
  <si>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</si>
  <si>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</si>
  <si>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</si>
  <si>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</si>
  <si>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</si>
  <si>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</si>
  <si>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</si>
  <si>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</si>
  <si>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</si>
  <si>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</si>
  <si>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</si>
  <si>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</si>
  <si>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</si>
  <si>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</si>
  <si>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</si>
  <si>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</si>
  <si>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</si>
  <si>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</si>
  <si>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</si>
  <si>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</si>
  <si>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</si>
  <si>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</si>
  <si>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</si>
  <si>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</si>
  <si>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</si>
  <si>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</si>
  <si>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</si>
  <si>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</si>
  <si>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</si>
  <si>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</si>
  <si>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</si>
  <si>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</si>
  <si>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</si>
  <si>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</si>
  <si>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</si>
  <si>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</si>
  <si>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</si>
  <si>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</si>
  <si>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</si>
  <si>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</si>
  <si>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</si>
  <si>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</si>
  <si>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</si>
  <si>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</si>
  <si>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</si>
  <si>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</si>
  <si>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</si>
  <si>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</si>
  <si>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</si>
  <si>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</si>
  <si>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</si>
  <si>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</si>
  <si>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</si>
  <si>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</si>
  <si>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</si>
  <si>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</si>
  <si>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</si>
  <si>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</si>
  <si>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</si>
  <si>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</si>
  <si>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</si>
  <si>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</si>
  <si>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</si>
  <si>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</si>
  <si>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</si>
  <si>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</si>
  <si>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</si>
  <si>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</si>
  <si>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</si>
  <si>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</si>
  <si>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</si>
  <si>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</si>
  <si>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</si>
  <si>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</si>
  <si>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</si>
  <si>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</si>
  <si>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</si>
  <si>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</si>
  <si>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</si>
  <si>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</si>
  <si>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</si>
  <si>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</si>
  <si>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</si>
  <si>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</si>
  <si>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</si>
  <si>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</si>
  <si>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</si>
  <si>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</si>
  <si>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</si>
  <si>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</si>
  <si>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</si>
  <si>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</si>
  <si>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</si>
  <si>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</si>
  <si>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</si>
  <si>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</si>
  <si>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</si>
  <si>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</si>
  <si>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</si>
  <si>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</si>
  <si>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</si>
  <si>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</si>
  <si>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</si>
  <si>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</si>
  <si>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</si>
  <si>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</si>
  <si>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</si>
  <si>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</si>
  <si>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</si>
  <si>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</si>
  <si>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</si>
  <si>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</si>
  <si>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</si>
  <si>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</si>
  <si>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</si>
  <si>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</si>
  <si>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</si>
  <si>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</si>
  <si>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</si>
  <si>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</si>
  <si>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</si>
  <si>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</si>
  <si>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</si>
  <si>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</si>
  <si>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</si>
  <si>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</si>
  <si>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</si>
  <si>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</si>
  <si>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</si>
  <si>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</si>
  <si>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</si>
  <si>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</si>
  <si>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</si>
  <si>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</si>
  <si>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</si>
  <si>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</si>
  <si>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</si>
  <si>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</si>
  <si>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</si>
  <si>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</si>
  <si>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</si>
  <si>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</si>
  <si>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</si>
  <si>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</si>
  <si>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</si>
  <si>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</si>
  <si>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</si>
  <si>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</si>
  <si>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</si>
  <si>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</si>
  <si>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</si>
  <si>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</si>
  <si>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</si>
  <si>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</si>
  <si>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</si>
  <si>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</si>
  <si>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</si>
  <si>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</si>
  <si>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</si>
  <si>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</si>
  <si>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</si>
  <si>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</si>
  <si>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</si>
  <si>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</si>
  <si>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</si>
  <si>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</si>
  <si>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</si>
  <si>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</si>
  <si>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</si>
  <si>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</si>
  <si>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</si>
  <si>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</si>
  <si>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</si>
  <si>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</si>
  <si>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</si>
  <si>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</si>
  <si>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</si>
  <si>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</si>
  <si>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</si>
  <si>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</si>
  <si>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</si>
  <si>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</si>
  <si>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</si>
  <si>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</si>
  <si>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</si>
  <si>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</si>
  <si>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</si>
  <si>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</si>
  <si>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</si>
  <si>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</si>
  <si>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</si>
  <si>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</si>
  <si>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</si>
  <si>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</si>
  <si>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</si>
  <si>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</si>
  <si>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</si>
  <si>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</si>
  <si>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</si>
  <si>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</si>
  <si>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</si>
  <si>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</si>
  <si>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</si>
  <si>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</si>
  <si>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</si>
  <si>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</si>
  <si>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</si>
  <si>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</si>
  <si>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</si>
  <si>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</si>
  <si>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</si>
  <si>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</si>
  <si>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</si>
  <si>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</si>
  <si>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</si>
  <si>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</si>
  <si>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</si>
  <si>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</si>
  <si>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</si>
  <si>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</si>
  <si>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</si>
  <si>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</si>
  <si>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</si>
  <si>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</si>
  <si>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</si>
  <si>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</si>
  <si>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</si>
  <si>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</si>
  <si>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</si>
  <si>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</si>
  <si>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</si>
  <si>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</si>
  <si>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</si>
  <si>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</si>
  <si>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</si>
  <si>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</si>
  <si>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</si>
  <si>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</si>
  <si>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</si>
  <si>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</si>
  <si>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</si>
  <si>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</si>
  <si>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</si>
  <si>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</si>
  <si>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</si>
  <si>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</si>
  <si>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</si>
  <si>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</si>
  <si>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</si>
  <si>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</si>
  <si>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</si>
  <si>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</si>
  <si>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</si>
  <si>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</si>
  <si>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</si>
  <si>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</si>
  <si>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</si>
  <si>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</si>
  <si>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</si>
  <si>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</si>
  <si>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</si>
  <si>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</si>
  <si>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</si>
  <si>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</si>
  <si>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</si>
  <si>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</si>
  <si>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</si>
  <si>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</si>
  <si>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</si>
  <si>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</si>
  <si>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</si>
  <si>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</si>
  <si>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</si>
  <si>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</si>
  <si>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</si>
  <si>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</si>
  <si>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</si>
  <si>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</si>
  <si>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</si>
  <si>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</si>
  <si>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</si>
  <si>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</si>
  <si>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</si>
  <si>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</si>
  <si>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</si>
  <si>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</si>
  <si>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</si>
  <si>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</si>
  <si>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</si>
  <si>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</si>
  <si>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</si>
  <si>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</si>
  <si>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</si>
  <si>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</si>
  <si>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</si>
  <si>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</si>
  <si>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</si>
  <si>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</si>
  <si>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</si>
  <si>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</si>
  <si>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</si>
  <si>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</si>
  <si>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</si>
  <si>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</si>
  <si>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</si>
  <si>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</si>
  <si>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</si>
  <si>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</si>
  <si>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</si>
  <si>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</si>
  <si>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</si>
  <si>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</si>
  <si>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</si>
  <si>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</si>
  <si>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</si>
  <si>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</si>
  <si>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</si>
  <si>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</si>
  <si>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</si>
  <si>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</si>
  <si>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</si>
  <si>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</si>
  <si>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</si>
  <si>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</si>
  <si>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</si>
  <si>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</si>
  <si>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</si>
  <si>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</si>
  <si>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</si>
  <si>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</si>
  <si>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</si>
  <si>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</si>
  <si>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</si>
  <si>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</si>
  <si>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</si>
  <si>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</si>
  <si>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</si>
  <si>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</si>
  <si>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</si>
  <si>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</si>
  <si>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</si>
  <si>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</si>
  <si>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</si>
  <si>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</si>
  <si>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</si>
  <si>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</si>
  <si>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</si>
  <si>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</si>
  <si>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</si>
  <si>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</si>
  <si>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</si>
  <si>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</si>
  <si>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</si>
  <si>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</si>
  <si>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</si>
  <si>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</si>
  <si>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</si>
  <si>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</si>
  <si>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</si>
  <si>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</si>
  <si>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</si>
  <si>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</si>
  <si>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</si>
  <si>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</si>
  <si>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</si>
  <si>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</si>
  <si>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</si>
  <si>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</si>
  <si>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</si>
  <si>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</si>
  <si>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</si>
  <si>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</si>
  <si>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</si>
  <si>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</si>
  <si>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</si>
  <si>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</si>
  <si>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</si>
  <si>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</si>
  <si>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</si>
  <si>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</si>
  <si>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</si>
  <si>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</si>
  <si>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</si>
  <si>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</si>
  <si>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</si>
  <si>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</si>
  <si>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</si>
  <si>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</si>
  <si>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</si>
  <si>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</si>
  <si>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</si>
  <si>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</si>
  <si>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</si>
  <si>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</si>
  <si>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</si>
  <si>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</si>
  <si>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</si>
  <si>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</si>
  <si>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</si>
  <si>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</si>
  <si>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</si>
  <si>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</si>
  <si>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</si>
  <si>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</si>
  <si>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</si>
  <si>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</si>
  <si>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</si>
  <si>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</si>
  <si>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</si>
  <si>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</si>
  <si>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</si>
  <si>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</si>
  <si>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</si>
  <si>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</si>
  <si>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</si>
  <si>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</si>
  <si>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</si>
  <si>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</si>
  <si>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</si>
  <si>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</si>
  <si>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</si>
  <si>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</si>
  <si>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</si>
  <si>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</si>
  <si>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</si>
  <si>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</si>
  <si>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</si>
  <si>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</si>
  <si>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</si>
  <si>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</si>
  <si>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</si>
  <si>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</si>
  <si>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</si>
  <si>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</si>
  <si>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</si>
  <si>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</si>
  <si>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</si>
  <si>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</si>
  <si>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</si>
  <si>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</si>
  <si>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</si>
  <si>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</si>
  <si>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</si>
  <si>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</si>
  <si>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</si>
  <si>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</si>
  <si>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</si>
  <si>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</si>
  <si>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</si>
  <si>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</si>
  <si>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</si>
  <si>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</si>
  <si>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</si>
  <si>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</si>
  <si>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</si>
  <si>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</si>
  <si>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</si>
  <si>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</si>
  <si>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</si>
  <si>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</si>
  <si>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</si>
  <si>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</si>
  <si>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</si>
  <si>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</si>
  <si>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</si>
  <si>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</si>
  <si>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</si>
  <si>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</si>
  <si>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</si>
  <si>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</si>
  <si>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</si>
  <si>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</si>
  <si>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</si>
  <si>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</si>
  <si>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</si>
  <si>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</si>
  <si>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</si>
  <si>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</si>
  <si>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</si>
  <si>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</si>
  <si>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</si>
  <si>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</si>
  <si>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</si>
  <si>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</si>
  <si>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</si>
  <si>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</si>
  <si>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</si>
  <si>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</si>
  <si>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</si>
  <si>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</si>
  <si>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</si>
  <si>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</si>
  <si>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</si>
  <si>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</si>
  <si>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</si>
  <si>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</si>
  <si>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</si>
  <si>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</si>
  <si>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</si>
  <si>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</si>
  <si>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</si>
  <si>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</si>
  <si>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</si>
  <si>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</si>
  <si>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</si>
  <si>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</si>
  <si>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</si>
  <si>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</si>
  <si>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</si>
  <si>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</si>
  <si>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</si>
  <si>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</si>
  <si>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</si>
  <si>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</si>
  <si>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</si>
  <si>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</si>
  <si>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</si>
  <si>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</si>
  <si>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</si>
  <si>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</si>
  <si>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</si>
  <si>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</si>
  <si>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</si>
  <si>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</si>
  <si>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</si>
  <si>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</si>
  <si>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</si>
  <si>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</si>
  <si>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</si>
  <si>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</si>
  <si>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</si>
  <si>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</si>
  <si>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</si>
  <si>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</si>
  <si>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</si>
  <si>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</si>
  <si>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</si>
  <si>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</si>
  <si>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</si>
  <si>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</si>
  <si>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</si>
  <si>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</si>
  <si>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</si>
  <si>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</si>
  <si>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</si>
  <si>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</si>
  <si>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</si>
  <si>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</si>
  <si>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</si>
  <si>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</si>
  <si>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</si>
  <si>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</si>
  <si>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</si>
  <si>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</si>
  <si>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</si>
  <si>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</si>
  <si>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</si>
  <si>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</si>
  <si>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</si>
  <si>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</si>
  <si>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</si>
  <si>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</si>
  <si>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</si>
  <si>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</si>
  <si>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</si>
  <si>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</si>
  <si>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</si>
  <si>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</si>
  <si>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</si>
  <si>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</si>
  <si>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</si>
  <si>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</si>
  <si>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</si>
  <si>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</si>
  <si>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</si>
  <si>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</si>
  <si>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</si>
  <si>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</si>
  <si>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</si>
  <si>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</si>
  <si>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</si>
  <si>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</si>
  <si>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</si>
  <si>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</si>
  <si>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</si>
  <si>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</si>
  <si>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</si>
  <si>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</si>
  <si>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</si>
  <si>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</si>
  <si>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</si>
  <si>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</si>
  <si>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</si>
  <si>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</si>
  <si>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</si>
  <si>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</si>
  <si>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</si>
  <si>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</si>
  <si>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</si>
  <si>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</si>
  <si>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</si>
  <si>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</si>
  <si>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</si>
  <si>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</si>
  <si>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</si>
  <si>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</si>
  <si>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</si>
  <si>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</si>
  <si>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</si>
  <si>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</si>
  <si>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</si>
  <si>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</si>
  <si>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</si>
  <si>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</si>
  <si>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</si>
  <si>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</si>
  <si>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</si>
  <si>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</si>
  <si>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</si>
  <si>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</si>
  <si>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</si>
  <si>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</si>
  <si>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</si>
  <si>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</si>
  <si>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</si>
  <si>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</si>
  <si>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</si>
  <si>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</si>
  <si>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</si>
  <si>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</si>
  <si>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</si>
  <si>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</si>
  <si>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</si>
  <si>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</si>
  <si>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</si>
  <si>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</si>
  <si>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</si>
  <si>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</si>
  <si>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</si>
  <si>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</si>
  <si>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</si>
  <si>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</si>
  <si>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</si>
  <si>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</si>
  <si>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</si>
  <si>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</si>
  <si>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</si>
  <si>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</si>
  <si>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</si>
  <si>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</si>
  <si>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</si>
  <si>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</si>
  <si>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</si>
  <si>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</si>
  <si>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</si>
  <si>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STARK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</si>
</sst>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30" zoomScaleNormal="130" workbookViewId="0">
      <pane xSplit="5" ySplit="3" topLeftCell="F645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499</v>
      </c>
      <c r="C2" s="21">
        <v>499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55888.8+25018.37</f>
        <v>80907.17</v>
      </c>
      <c r="G9" s="18"/>
      <c r="H9" s="18"/>
      <c r="I9" s="18"/>
      <c r="J9" s="67">
        <f>SUM(I439)</f>
        <v>290093.78000000003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313.35+2024.94</f>
        <v>2338.29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>
        <v>313.35000000000002</v>
      </c>
      <c r="H14" s="18">
        <v>2024.94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83245.459999999992</v>
      </c>
      <c r="G19" s="41">
        <f>SUM(G9:G18)</f>
        <v>313.35000000000002</v>
      </c>
      <c r="H19" s="41">
        <f>SUM(H9:H18)</f>
        <v>2024.94</v>
      </c>
      <c r="I19" s="41">
        <f>SUM(I9:I18)</f>
        <v>0</v>
      </c>
      <c r="J19" s="41">
        <f>SUM(J9:J18)</f>
        <v>290093.78000000003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313.35000000000002</v>
      </c>
      <c r="H22" s="18">
        <v>2024.94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9139.94</v>
      </c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9139.94</v>
      </c>
      <c r="G32" s="41">
        <f>SUM(G22:G31)</f>
        <v>313.35000000000002</v>
      </c>
      <c r="H32" s="41">
        <f>SUM(H22:H31)</f>
        <v>2024.94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290093.78000000003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16177.25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57928.27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74105.51999999999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290093.78000000003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83245.459999999992</v>
      </c>
      <c r="G52" s="41">
        <f>G51+G32</f>
        <v>313.35000000000002</v>
      </c>
      <c r="H52" s="41">
        <f>H51+H32</f>
        <v>2024.94</v>
      </c>
      <c r="I52" s="41">
        <f>I51+I32</f>
        <v>0</v>
      </c>
      <c r="J52" s="41">
        <f>J51+J32</f>
        <v>290093.78000000003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525919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525919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16365.99</v>
      </c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16365.99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346.76</v>
      </c>
      <c r="G96" s="18"/>
      <c r="H96" s="18"/>
      <c r="I96" s="18"/>
      <c r="J96" s="18">
        <v>3781.88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8452.7000000000007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22.41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369.17</v>
      </c>
      <c r="G111" s="41">
        <f>SUM(G96:G110)</f>
        <v>8452.7000000000007</v>
      </c>
      <c r="H111" s="41">
        <f>SUM(H96:H110)</f>
        <v>0</v>
      </c>
      <c r="I111" s="41">
        <f>SUM(I96:I110)</f>
        <v>0</v>
      </c>
      <c r="J111" s="41">
        <f>SUM(J96:J110)</f>
        <v>3781.88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542654.16</v>
      </c>
      <c r="G112" s="41">
        <f>G60+G111</f>
        <v>8452.7000000000007</v>
      </c>
      <c r="H112" s="41">
        <f>H60+H79+H94+H111</f>
        <v>0</v>
      </c>
      <c r="I112" s="41">
        <f>I60+I111</f>
        <v>0</v>
      </c>
      <c r="J112" s="41">
        <f>J60+J111</f>
        <v>3781.88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237978.86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121171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359149.86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258.11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258.11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359149.86</v>
      </c>
      <c r="G140" s="41">
        <f>G121+SUM(G136:G137)</f>
        <v>258.11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79.72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24016.639999999999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6517.69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19141.04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/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0</v>
      </c>
      <c r="G162" s="41">
        <f>SUM(G150:G161)</f>
        <v>6517.69</v>
      </c>
      <c r="H162" s="41">
        <f>SUM(H150:H161)</f>
        <v>43237.4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0</v>
      </c>
      <c r="G169" s="41">
        <f>G147+G162+SUM(G163:G168)</f>
        <v>6517.69</v>
      </c>
      <c r="H169" s="41">
        <f>H147+H162+SUM(H163:H168)</f>
        <v>43237.4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13709.18</v>
      </c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13709.18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13709.18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901804.02</v>
      </c>
      <c r="G193" s="47">
        <f>G112+G140+G169+G192</f>
        <v>28937.68</v>
      </c>
      <c r="H193" s="47">
        <f>H112+H140+H169+H192</f>
        <v>43237.4</v>
      </c>
      <c r="I193" s="47">
        <f>I112+I140+I169+I192</f>
        <v>0</v>
      </c>
      <c r="J193" s="47">
        <f>J112+J140+J192</f>
        <v>3781.88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148378.75</v>
      </c>
      <c r="G197" s="18">
        <v>84885.239999999991</v>
      </c>
      <c r="H197" s="18">
        <v>163083.23000000001</v>
      </c>
      <c r="I197" s="18">
        <v>5315.119999999999</v>
      </c>
      <c r="J197" s="18"/>
      <c r="K197" s="18"/>
      <c r="L197" s="19">
        <f>SUM(F197:K197)</f>
        <v>401662.33999999997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1953.91</v>
      </c>
      <c r="G198" s="18">
        <v>1277.67</v>
      </c>
      <c r="H198" s="18">
        <v>2703.47</v>
      </c>
      <c r="I198" s="18">
        <v>848.59</v>
      </c>
      <c r="J198" s="18"/>
      <c r="K198" s="18"/>
      <c r="L198" s="19">
        <f>SUM(F198:K198)</f>
        <v>6783.6399999999994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3150</v>
      </c>
      <c r="G200" s="18">
        <v>714.79</v>
      </c>
      <c r="H200" s="18"/>
      <c r="I200" s="18"/>
      <c r="J200" s="18"/>
      <c r="K200" s="18"/>
      <c r="L200" s="19">
        <f>SUM(F200:K200)</f>
        <v>3864.79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/>
      <c r="G202" s="18"/>
      <c r="H202" s="18">
        <f>6545.02+3622.93</f>
        <v>10167.950000000001</v>
      </c>
      <c r="I202" s="18">
        <f>114.56+100</f>
        <v>214.56</v>
      </c>
      <c r="J202" s="18"/>
      <c r="K202" s="18"/>
      <c r="L202" s="19">
        <f t="shared" ref="L202:L208" si="0">SUM(F202:K202)</f>
        <v>10382.51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2618+322</f>
        <v>2940</v>
      </c>
      <c r="G203" s="18">
        <f>200.4+27.18+9.26+24.62+31.22+3.98</f>
        <v>296.65999999999997</v>
      </c>
      <c r="H203" s="18">
        <f>180+55</f>
        <v>235</v>
      </c>
      <c r="I203" s="18">
        <f>54+100+445.48</f>
        <v>599.48</v>
      </c>
      <c r="J203" s="18"/>
      <c r="K203" s="18"/>
      <c r="L203" s="19">
        <f t="shared" si="0"/>
        <v>4071.14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2384</v>
      </c>
      <c r="G204" s="18">
        <v>204</v>
      </c>
      <c r="H204" s="18">
        <v>63518</v>
      </c>
      <c r="I204" s="18">
        <v>737</v>
      </c>
      <c r="J204" s="18"/>
      <c r="K204" s="18">
        <v>1251</v>
      </c>
      <c r="L204" s="19">
        <f t="shared" si="0"/>
        <v>68094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35778.01+10948</f>
        <v>46726.01</v>
      </c>
      <c r="G205" s="18">
        <f>13916.08+207.56+3419.28+1138.03+6310.8+185.76+621.36+159.31</f>
        <v>25958.179999999997</v>
      </c>
      <c r="H205" s="18">
        <f>198+4330.2+194.28</f>
        <v>4722.4799999999996</v>
      </c>
      <c r="I205" s="18">
        <f>543.12+229.99+7511.07+200+12.95</f>
        <v>8497.130000000001</v>
      </c>
      <c r="J205" s="18">
        <v>481.97</v>
      </c>
      <c r="K205" s="18">
        <f>775.33+160.7+147.9</f>
        <v>1083.93</v>
      </c>
      <c r="L205" s="19">
        <f t="shared" si="0"/>
        <v>87469.7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14504+105</f>
        <v>14609</v>
      </c>
      <c r="G207" s="18">
        <f>1093.02+388.35+392.22</f>
        <v>1873.59</v>
      </c>
      <c r="H207" s="18">
        <f>2084+7710+8145.39+3000+348.84</f>
        <v>21288.23</v>
      </c>
      <c r="I207" s="18">
        <f>1915.81+4659.65+457.59+4925.2</f>
        <v>11958.25</v>
      </c>
      <c r="J207" s="18">
        <f>239.97+351.15</f>
        <v>591.12</v>
      </c>
      <c r="K207" s="18"/>
      <c r="L207" s="19">
        <f t="shared" si="0"/>
        <v>50320.19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29799.94+740</f>
        <v>30539.94</v>
      </c>
      <c r="I208" s="18"/>
      <c r="J208" s="18"/>
      <c r="K208" s="18"/>
      <c r="L208" s="19">
        <f t="shared" si="0"/>
        <v>30539.94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220141.67</v>
      </c>
      <c r="G211" s="41">
        <f t="shared" si="1"/>
        <v>115210.12999999998</v>
      </c>
      <c r="H211" s="41">
        <f t="shared" si="1"/>
        <v>296258.30000000005</v>
      </c>
      <c r="I211" s="41">
        <f t="shared" si="1"/>
        <v>28170.13</v>
      </c>
      <c r="J211" s="41">
        <f t="shared" si="1"/>
        <v>1073.0900000000001</v>
      </c>
      <c r="K211" s="41">
        <f t="shared" si="1"/>
        <v>2334.9300000000003</v>
      </c>
      <c r="L211" s="41">
        <f t="shared" si="1"/>
        <v>663188.25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142860.20000000001</v>
      </c>
      <c r="I233" s="18"/>
      <c r="J233" s="18"/>
      <c r="K233" s="18"/>
      <c r="L233" s="19">
        <f>SUM(F233:K233)</f>
        <v>142860.20000000001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1726</v>
      </c>
      <c r="G240" s="18">
        <v>148.38</v>
      </c>
      <c r="H240" s="18">
        <v>45994.59</v>
      </c>
      <c r="I240" s="18">
        <v>533</v>
      </c>
      <c r="J240" s="18"/>
      <c r="K240" s="18">
        <v>905.41</v>
      </c>
      <c r="L240" s="19">
        <f t="shared" si="4"/>
        <v>49307.38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20679.060000000001</v>
      </c>
      <c r="I244" s="18"/>
      <c r="J244" s="18"/>
      <c r="K244" s="18"/>
      <c r="L244" s="19">
        <f t="shared" si="4"/>
        <v>20679.060000000001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1726</v>
      </c>
      <c r="G247" s="41">
        <f t="shared" si="5"/>
        <v>148.38</v>
      </c>
      <c r="H247" s="41">
        <f t="shared" si="5"/>
        <v>209533.85</v>
      </c>
      <c r="I247" s="41">
        <f t="shared" si="5"/>
        <v>533</v>
      </c>
      <c r="J247" s="41">
        <f t="shared" si="5"/>
        <v>0</v>
      </c>
      <c r="K247" s="41">
        <f t="shared" si="5"/>
        <v>905.41</v>
      </c>
      <c r="L247" s="41">
        <f t="shared" si="5"/>
        <v>212846.64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12662.5</v>
      </c>
      <c r="I255" s="18"/>
      <c r="J255" s="18"/>
      <c r="K255" s="18"/>
      <c r="L255" s="19">
        <f t="shared" si="6"/>
        <v>12662.5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12662.5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12662.5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221867.67</v>
      </c>
      <c r="G257" s="41">
        <f t="shared" si="8"/>
        <v>115358.50999999998</v>
      </c>
      <c r="H257" s="41">
        <f t="shared" si="8"/>
        <v>518454.65</v>
      </c>
      <c r="I257" s="41">
        <f t="shared" si="8"/>
        <v>28703.13</v>
      </c>
      <c r="J257" s="41">
        <f t="shared" si="8"/>
        <v>1073.0900000000001</v>
      </c>
      <c r="K257" s="41">
        <f t="shared" si="8"/>
        <v>3240.34</v>
      </c>
      <c r="L257" s="41">
        <f t="shared" si="8"/>
        <v>888697.39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13709.18</v>
      </c>
      <c r="L263" s="19">
        <f>SUM(F263:K263)</f>
        <v>13709.18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5959</v>
      </c>
      <c r="L268" s="19">
        <f t="shared" si="9"/>
        <v>5959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19668.18</v>
      </c>
      <c r="L270" s="41">
        <f t="shared" si="9"/>
        <v>19668.18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221867.67</v>
      </c>
      <c r="G271" s="42">
        <f t="shared" si="11"/>
        <v>115358.50999999998</v>
      </c>
      <c r="H271" s="42">
        <f t="shared" si="11"/>
        <v>518454.65</v>
      </c>
      <c r="I271" s="42">
        <f t="shared" si="11"/>
        <v>28703.13</v>
      </c>
      <c r="J271" s="42">
        <f t="shared" si="11"/>
        <v>1073.0900000000001</v>
      </c>
      <c r="K271" s="42">
        <f t="shared" si="11"/>
        <v>22908.52</v>
      </c>
      <c r="L271" s="42">
        <f t="shared" si="11"/>
        <v>908365.57000000007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2776+100+68+400+1200</f>
        <v>4544</v>
      </c>
      <c r="G276" s="18">
        <f>196.37+7.65+3.98+30.16+88.96+315.91+0.44+22.76+17.36+7.74+86.8</f>
        <v>778.13</v>
      </c>
      <c r="H276" s="18">
        <f>150+2613.18+4800</f>
        <v>7563.18</v>
      </c>
      <c r="I276" s="18">
        <f>16.67+243.86+435.4+15.88+1583.33-15.88+1250+621.56</f>
        <v>4150.82</v>
      </c>
      <c r="J276" s="18">
        <f>1500+3139.4+2222.73+198.1</f>
        <v>7060.23</v>
      </c>
      <c r="K276" s="18"/>
      <c r="L276" s="19">
        <f>SUM(F276:K276)</f>
        <v>24096.36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>
        <v>3309.77</v>
      </c>
      <c r="J277" s="18"/>
      <c r="K277" s="18"/>
      <c r="L277" s="19">
        <f>SUM(F277:K277)</f>
        <v>3309.77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f>2841.39+7559.13+5430.75</f>
        <v>15831.27</v>
      </c>
      <c r="I281" s="18"/>
      <c r="J281" s="18"/>
      <c r="K281" s="18"/>
      <c r="L281" s="19">
        <f t="shared" ref="L281:L287" si="12">SUM(F281:K281)</f>
        <v>15831.27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4544</v>
      </c>
      <c r="G290" s="42">
        <f t="shared" si="13"/>
        <v>778.13</v>
      </c>
      <c r="H290" s="42">
        <f t="shared" si="13"/>
        <v>23394.45</v>
      </c>
      <c r="I290" s="42">
        <f t="shared" si="13"/>
        <v>7460.59</v>
      </c>
      <c r="J290" s="42">
        <f t="shared" si="13"/>
        <v>7060.23</v>
      </c>
      <c r="K290" s="42">
        <f t="shared" si="13"/>
        <v>0</v>
      </c>
      <c r="L290" s="41">
        <f t="shared" si="13"/>
        <v>43237.4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4544</v>
      </c>
      <c r="G338" s="41">
        <f t="shared" si="20"/>
        <v>778.13</v>
      </c>
      <c r="H338" s="41">
        <f t="shared" si="20"/>
        <v>23394.45</v>
      </c>
      <c r="I338" s="41">
        <f t="shared" si="20"/>
        <v>7460.59</v>
      </c>
      <c r="J338" s="41">
        <f t="shared" si="20"/>
        <v>7060.23</v>
      </c>
      <c r="K338" s="41">
        <f t="shared" si="20"/>
        <v>0</v>
      </c>
      <c r="L338" s="41">
        <f t="shared" si="20"/>
        <v>43237.4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4544</v>
      </c>
      <c r="G352" s="41">
        <f>G338</f>
        <v>778.13</v>
      </c>
      <c r="H352" s="41">
        <f>H338</f>
        <v>23394.45</v>
      </c>
      <c r="I352" s="41">
        <f>I338</f>
        <v>7460.59</v>
      </c>
      <c r="J352" s="41">
        <f>J338</f>
        <v>7060.23</v>
      </c>
      <c r="K352" s="47">
        <f>K338+K351</f>
        <v>0</v>
      </c>
      <c r="L352" s="41">
        <f>L338+L351</f>
        <v>43237.4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f>26349.6+589.08</f>
        <v>26938.68</v>
      </c>
      <c r="I358" s="18"/>
      <c r="J358" s="18">
        <v>1999</v>
      </c>
      <c r="K358" s="18"/>
      <c r="L358" s="13">
        <f>SUM(F358:K358)</f>
        <v>28937.68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26938.68</v>
      </c>
      <c r="I362" s="47">
        <f t="shared" si="22"/>
        <v>0</v>
      </c>
      <c r="J362" s="47">
        <f t="shared" si="22"/>
        <v>1999</v>
      </c>
      <c r="K362" s="47">
        <f t="shared" si="22"/>
        <v>0</v>
      </c>
      <c r="L362" s="47">
        <f t="shared" si="22"/>
        <v>28937.68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1487.86</v>
      </c>
      <c r="I396" s="18"/>
      <c r="J396" s="24" t="s">
        <v>286</v>
      </c>
      <c r="K396" s="24" t="s">
        <v>286</v>
      </c>
      <c r="L396" s="56">
        <f t="shared" si="26"/>
        <v>1487.86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1720.56</v>
      </c>
      <c r="I397" s="18"/>
      <c r="J397" s="24" t="s">
        <v>286</v>
      </c>
      <c r="K397" s="24" t="s">
        <v>286</v>
      </c>
      <c r="L397" s="56">
        <f t="shared" si="26"/>
        <v>1720.56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573.46</v>
      </c>
      <c r="I398" s="18"/>
      <c r="J398" s="24" t="s">
        <v>286</v>
      </c>
      <c r="K398" s="24" t="s">
        <v>286</v>
      </c>
      <c r="L398" s="56">
        <f t="shared" si="26"/>
        <v>573.46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3781.88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3781.88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3781.88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3781.88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>
        <v>290093.78000000003</v>
      </c>
      <c r="H439" s="18"/>
      <c r="I439" s="56">
        <f t="shared" ref="I439:I445" si="33">SUM(F439:H439)</f>
        <v>290093.78000000003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290093.78000000003</v>
      </c>
      <c r="H446" s="13">
        <f>SUM(H439:H445)</f>
        <v>0</v>
      </c>
      <c r="I446" s="13">
        <f>SUM(I439:I445)</f>
        <v>290093.78000000003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>
        <v>290093.78000000003</v>
      </c>
      <c r="H456" s="18"/>
      <c r="I456" s="56">
        <f t="shared" si="34"/>
        <v>290093.78000000003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290093.78000000003</v>
      </c>
      <c r="H460" s="83">
        <f>SUM(H454:H459)</f>
        <v>0</v>
      </c>
      <c r="I460" s="83">
        <f>SUM(I454:I459)</f>
        <v>290093.78000000003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290093.78000000003</v>
      </c>
      <c r="H461" s="42">
        <f>H452+H460</f>
        <v>0</v>
      </c>
      <c r="I461" s="42">
        <f>I452+I460</f>
        <v>290093.78000000003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80667.070000000007</v>
      </c>
      <c r="G465" s="18"/>
      <c r="H465" s="18"/>
      <c r="I465" s="18"/>
      <c r="J465" s="18">
        <v>286311.90000000002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901804.02</v>
      </c>
      <c r="G468" s="18">
        <v>28937.68</v>
      </c>
      <c r="H468" s="18">
        <v>43237.4</v>
      </c>
      <c r="I468" s="18"/>
      <c r="J468" s="18">
        <v>3781.88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75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901804.02</v>
      </c>
      <c r="G470" s="53">
        <f>SUM(G468:G469)</f>
        <v>28937.68</v>
      </c>
      <c r="H470" s="53">
        <f>SUM(H468:H469)</f>
        <v>43237.4</v>
      </c>
      <c r="I470" s="53">
        <f>SUM(I468:I469)</f>
        <v>0</v>
      </c>
      <c r="J470" s="53">
        <f>SUM(J468:J469)</f>
        <v>3781.88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908365.57</v>
      </c>
      <c r="G472" s="18">
        <v>28937.68</v>
      </c>
      <c r="H472" s="18">
        <v>43237.4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75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908365.57</v>
      </c>
      <c r="G474" s="53">
        <f>SUM(G472:G473)</f>
        <v>28937.68</v>
      </c>
      <c r="H474" s="53">
        <f>SUM(H472:H473)</f>
        <v>43237.4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74105.520000000135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290093.78000000003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1953.91</f>
        <v>1953.91</v>
      </c>
      <c r="G521" s="18">
        <f>759.99+11.22+140.49+339.29+19.42+7.26</f>
        <v>1277.67</v>
      </c>
      <c r="H521" s="175"/>
      <c r="I521" s="18">
        <f>848.59+3309.77</f>
        <v>4158.3599999999997</v>
      </c>
      <c r="J521" s="18"/>
      <c r="K521" s="18"/>
      <c r="L521" s="88">
        <f>SUM(F521:K521)</f>
        <v>7389.94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1953.91</v>
      </c>
      <c r="G524" s="108">
        <f t="shared" ref="G524:L524" si="36">SUM(G521:G523)</f>
        <v>1277.67</v>
      </c>
      <c r="H524" s="108">
        <f t="shared" si="36"/>
        <v>0</v>
      </c>
      <c r="I524" s="108">
        <f t="shared" si="36"/>
        <v>4158.3599999999997</v>
      </c>
      <c r="J524" s="108">
        <f t="shared" si="36"/>
        <v>0</v>
      </c>
      <c r="K524" s="108">
        <f t="shared" si="36"/>
        <v>0</v>
      </c>
      <c r="L524" s="89">
        <f t="shared" si="36"/>
        <v>7389.94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f>2703.47+3622.93+2841.39+7559.13+5430.75</f>
        <v>22157.67</v>
      </c>
      <c r="I526" s="18">
        <f>100</f>
        <v>100</v>
      </c>
      <c r="J526" s="18"/>
      <c r="K526" s="18"/>
      <c r="L526" s="88">
        <f>SUM(F526:K526)</f>
        <v>22257.67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>SUM(H526:H528)</f>
        <v>22157.67</v>
      </c>
      <c r="I529" s="89">
        <f t="shared" si="37"/>
        <v>100</v>
      </c>
      <c r="J529" s="89">
        <f t="shared" si="37"/>
        <v>0</v>
      </c>
      <c r="K529" s="89">
        <f t="shared" si="37"/>
        <v>0</v>
      </c>
      <c r="L529" s="89">
        <f t="shared" si="37"/>
        <v>22257.67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f>4330.2+194.28</f>
        <v>4524.4799999999996</v>
      </c>
      <c r="I531" s="18">
        <f>200+12.95</f>
        <v>212.95</v>
      </c>
      <c r="J531" s="18"/>
      <c r="K531" s="18">
        <f>147.9</f>
        <v>147.9</v>
      </c>
      <c r="L531" s="88">
        <f>SUM(F531:K531)</f>
        <v>4885.329999999999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4524.4799999999996</v>
      </c>
      <c r="I534" s="89">
        <f t="shared" si="38"/>
        <v>212.95</v>
      </c>
      <c r="J534" s="89">
        <f t="shared" si="38"/>
        <v>0</v>
      </c>
      <c r="K534" s="89">
        <f t="shared" si="38"/>
        <v>147.9</v>
      </c>
      <c r="L534" s="89">
        <f t="shared" si="38"/>
        <v>4885.329999999999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1953.91</v>
      </c>
      <c r="G545" s="89">
        <f t="shared" ref="G545:L545" si="41">G524+G529+G534+G539+G544</f>
        <v>1277.67</v>
      </c>
      <c r="H545" s="89">
        <f t="shared" si="41"/>
        <v>26682.149999999998</v>
      </c>
      <c r="I545" s="89">
        <f t="shared" si="41"/>
        <v>4471.3099999999995</v>
      </c>
      <c r="J545" s="89">
        <f t="shared" si="41"/>
        <v>0</v>
      </c>
      <c r="K545" s="89">
        <f t="shared" si="41"/>
        <v>147.9</v>
      </c>
      <c r="L545" s="89">
        <f t="shared" si="41"/>
        <v>34532.939999999995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7389.94</v>
      </c>
      <c r="G549" s="87">
        <f>L526</f>
        <v>22257.67</v>
      </c>
      <c r="H549" s="87">
        <f>L531</f>
        <v>4885.329999999999</v>
      </c>
      <c r="I549" s="87">
        <f>L536</f>
        <v>0</v>
      </c>
      <c r="J549" s="87">
        <f>L541</f>
        <v>0</v>
      </c>
      <c r="K549" s="87">
        <f>SUM(F549:J549)</f>
        <v>34532.939999999995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7389.94</v>
      </c>
      <c r="G552" s="89">
        <f t="shared" si="42"/>
        <v>22257.67</v>
      </c>
      <c r="H552" s="89">
        <f t="shared" si="42"/>
        <v>4885.329999999999</v>
      </c>
      <c r="I552" s="89">
        <f t="shared" si="42"/>
        <v>0</v>
      </c>
      <c r="J552" s="89">
        <f t="shared" si="42"/>
        <v>0</v>
      </c>
      <c r="K552" s="89">
        <f t="shared" si="42"/>
        <v>34532.939999999995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153660.20000000001</v>
      </c>
      <c r="G575" s="18"/>
      <c r="H575" s="18">
        <v>142860.20000000001</v>
      </c>
      <c r="I575" s="87">
        <f>SUM(F575:H575)</f>
        <v>296520.40000000002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29799.94</v>
      </c>
      <c r="I591" s="18"/>
      <c r="J591" s="18">
        <v>20679.060000000001</v>
      </c>
      <c r="K591" s="104">
        <f t="shared" ref="K591:K597" si="48">SUM(H591:J591)</f>
        <v>50479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740</v>
      </c>
      <c r="I595" s="18"/>
      <c r="J595" s="18"/>
      <c r="K595" s="104">
        <f t="shared" si="48"/>
        <v>740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30539.94</v>
      </c>
      <c r="I598" s="108">
        <f>SUM(I591:I597)</f>
        <v>0</v>
      </c>
      <c r="J598" s="108">
        <f>SUM(J591:J597)</f>
        <v>20679.060000000001</v>
      </c>
      <c r="K598" s="108">
        <f>SUM(K591:K597)</f>
        <v>51219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8133.32</v>
      </c>
      <c r="I604" s="18"/>
      <c r="J604" s="18"/>
      <c r="K604" s="104">
        <f>SUM(H604:J604)</f>
        <v>8133.32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8133.32</v>
      </c>
      <c r="I605" s="108">
        <f>SUM(I602:I604)</f>
        <v>0</v>
      </c>
      <c r="J605" s="108">
        <f>SUM(J602:J604)</f>
        <v>0</v>
      </c>
      <c r="K605" s="108">
        <f>SUM(K602:K604)</f>
        <v>8133.32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3150</v>
      </c>
      <c r="G611" s="18">
        <f>221.77+493.02</f>
        <v>714.79</v>
      </c>
      <c r="H611" s="18"/>
      <c r="I611" s="18"/>
      <c r="J611" s="18"/>
      <c r="K611" s="18"/>
      <c r="L611" s="88">
        <f>SUM(F611:K611)</f>
        <v>3864.79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3150</v>
      </c>
      <c r="G614" s="108">
        <f t="shared" si="49"/>
        <v>714.79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3864.79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83245.459999999992</v>
      </c>
      <c r="H617" s="109">
        <f>SUM(F52)</f>
        <v>83245.459999999992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313.35000000000002</v>
      </c>
      <c r="H618" s="109">
        <f>SUM(G52)</f>
        <v>313.35000000000002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2024.94</v>
      </c>
      <c r="H619" s="109">
        <f>SUM(H52)</f>
        <v>2024.94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290093.78000000003</v>
      </c>
      <c r="H621" s="109">
        <f>SUM(J52)</f>
        <v>290093.78000000003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74105.51999999999</v>
      </c>
      <c r="H622" s="109">
        <f>F476</f>
        <v>74105.520000000135</v>
      </c>
      <c r="I622" s="121" t="s">
        <v>101</v>
      </c>
      <c r="J622" s="109">
        <f t="shared" ref="J622:J655" si="50">G622-H622</f>
        <v>-1.4551915228366852E-10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290093.78000000003</v>
      </c>
      <c r="H626" s="109">
        <f>J476</f>
        <v>290093.78000000003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901804.02</v>
      </c>
      <c r="H627" s="104">
        <f>SUM(F468)</f>
        <v>901804.02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28937.68</v>
      </c>
      <c r="H628" s="104">
        <f>SUM(G468)</f>
        <v>28937.68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43237.4</v>
      </c>
      <c r="H629" s="104">
        <f>SUM(H468)</f>
        <v>43237.4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3781.88</v>
      </c>
      <c r="H631" s="104">
        <f>SUM(J468)</f>
        <v>3781.88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908365.57000000007</v>
      </c>
      <c r="H632" s="104">
        <f>SUM(F472)</f>
        <v>908365.57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43237.4</v>
      </c>
      <c r="H633" s="104">
        <f>SUM(H472)</f>
        <v>43237.4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28937.68</v>
      </c>
      <c r="H635" s="104">
        <f>SUM(G472)</f>
        <v>28937.68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3781.88</v>
      </c>
      <c r="H637" s="164">
        <f>SUM(J468)</f>
        <v>3781.88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290093.78000000003</v>
      </c>
      <c r="H640" s="104">
        <f>SUM(G461)</f>
        <v>290093.78000000003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290093.78000000003</v>
      </c>
      <c r="H642" s="104">
        <f>SUM(I461)</f>
        <v>290093.78000000003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3781.88</v>
      </c>
      <c r="H644" s="104">
        <f>H408</f>
        <v>3781.88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3781.88</v>
      </c>
      <c r="H646" s="104">
        <f>L408</f>
        <v>3781.88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51219</v>
      </c>
      <c r="H647" s="104">
        <f>L208+L226+L244</f>
        <v>51219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8133.32</v>
      </c>
      <c r="H648" s="104">
        <f>(J257+J338)-(J255+J336)</f>
        <v>8133.32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30539.94</v>
      </c>
      <c r="H649" s="104">
        <f>H598</f>
        <v>30539.94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20679.060000000001</v>
      </c>
      <c r="H651" s="104">
        <f>J598</f>
        <v>20679.060000000001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13709.18</v>
      </c>
      <c r="H652" s="104">
        <f>K263+K345</f>
        <v>13709.18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735363.33000000007</v>
      </c>
      <c r="G660" s="19">
        <f>(L229+L309+L359)</f>
        <v>0</v>
      </c>
      <c r="H660" s="19">
        <f>(L247+L328+L360)</f>
        <v>212846.64</v>
      </c>
      <c r="I660" s="19">
        <f>SUM(F660:H660)</f>
        <v>948209.97000000009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8452.7000000000007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8452.7000000000007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30539.94</v>
      </c>
      <c r="G662" s="19">
        <f>(L226+L306)-(J226+J306)</f>
        <v>0</v>
      </c>
      <c r="H662" s="19">
        <f>(L244+L325)-(J244+J325)</f>
        <v>20679.060000000001</v>
      </c>
      <c r="I662" s="19">
        <f>SUM(F662:H662)</f>
        <v>51219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165658.31000000003</v>
      </c>
      <c r="G663" s="199">
        <f>SUM(G575:G587)+SUM(I602:I604)+L612</f>
        <v>0</v>
      </c>
      <c r="H663" s="199">
        <f>SUM(H575:H587)+SUM(J602:J604)+L613</f>
        <v>142860.20000000001</v>
      </c>
      <c r="I663" s="19">
        <f>SUM(F663:H663)</f>
        <v>308518.51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530712.38000000012</v>
      </c>
      <c r="G664" s="19">
        <f>G660-SUM(G661:G663)</f>
        <v>0</v>
      </c>
      <c r="H664" s="19">
        <f>H660-SUM(H661:H663)</f>
        <v>49307.380000000005</v>
      </c>
      <c r="I664" s="19">
        <f>I660-SUM(I661:I663)</f>
        <v>580019.76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27</v>
      </c>
      <c r="G665" s="248"/>
      <c r="H665" s="248"/>
      <c r="I665" s="19">
        <f>SUM(F665:H665)</f>
        <v>27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19656.009999999998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21482.21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-49307.38</v>
      </c>
      <c r="I669" s="19">
        <f>SUM(F669:H669)</f>
        <v>-49307.38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19656.009999999998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19656.009999999998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C29" sqref="C2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STARK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152922.75</v>
      </c>
      <c r="C9" s="229">
        <f>'DOE25'!G197+'DOE25'!G215+'DOE25'!G233+'DOE25'!G276+'DOE25'!G295+'DOE25'!G314</f>
        <v>85663.37</v>
      </c>
    </row>
    <row r="10" spans="1:3" x14ac:dyDescent="0.2">
      <c r="A10" t="s">
        <v>773</v>
      </c>
      <c r="B10" s="240">
        <v>141908.75</v>
      </c>
      <c r="C10" s="21">
        <v>84820.800000000003</v>
      </c>
    </row>
    <row r="11" spans="1:3" x14ac:dyDescent="0.2">
      <c r="A11" t="s">
        <v>774</v>
      </c>
      <c r="B11" s="240">
        <f>9064+1950</f>
        <v>11014</v>
      </c>
      <c r="C11" s="240">
        <v>842.57</v>
      </c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152922.75</v>
      </c>
      <c r="C13" s="231">
        <f>SUM(C10:C12)</f>
        <v>85663.37000000001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1953.91</v>
      </c>
      <c r="C18" s="229">
        <f>'DOE25'!G198+'DOE25'!G216+'DOE25'!G234+'DOE25'!G277+'DOE25'!G296+'DOE25'!G315</f>
        <v>1277.67</v>
      </c>
    </row>
    <row r="19" spans="1:3" x14ac:dyDescent="0.2">
      <c r="A19" t="s">
        <v>773</v>
      </c>
      <c r="B19" s="240">
        <v>1953.91</v>
      </c>
      <c r="C19" s="240">
        <v>1277.67</v>
      </c>
    </row>
    <row r="20" spans="1:3" x14ac:dyDescent="0.2">
      <c r="A20" t="s">
        <v>774</v>
      </c>
      <c r="B20" s="240"/>
      <c r="C20" s="240"/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1953.91</v>
      </c>
      <c r="C22" s="231">
        <f>SUM(C19:C21)</f>
        <v>1277.67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>
        <v>0</v>
      </c>
      <c r="C28" s="240">
        <v>0</v>
      </c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3150</v>
      </c>
      <c r="C36" s="235">
        <f>'DOE25'!G200+'DOE25'!G218+'DOE25'!G236+'DOE25'!G279+'DOE25'!G298+'DOE25'!G317</f>
        <v>714.79</v>
      </c>
    </row>
    <row r="37" spans="1:3" x14ac:dyDescent="0.2">
      <c r="A37" t="s">
        <v>773</v>
      </c>
      <c r="B37" s="240">
        <v>3150</v>
      </c>
      <c r="C37" s="240">
        <v>714.79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3150</v>
      </c>
      <c r="C40" s="231">
        <f>SUM(C37:C39)</f>
        <v>714.79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STARK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555170.97</v>
      </c>
      <c r="D5" s="20">
        <f>SUM('DOE25'!L197:L200)+SUM('DOE25'!L215:L218)+SUM('DOE25'!L233:L236)-F5-G5</f>
        <v>555170.97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10382.51</v>
      </c>
      <c r="D6" s="20">
        <f>'DOE25'!L202+'DOE25'!L220+'DOE25'!L238-F6-G6</f>
        <v>10382.51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4071.14</v>
      </c>
      <c r="D7" s="20">
        <f>'DOE25'!L203+'DOE25'!L221+'DOE25'!L239-F7-G7</f>
        <v>4071.14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65973.62000000001</v>
      </c>
      <c r="D8" s="243"/>
      <c r="E8" s="20">
        <f>'DOE25'!L204+'DOE25'!L222+'DOE25'!L240-F8-G8-D9-D11</f>
        <v>63817.210000000006</v>
      </c>
      <c r="F8" s="255">
        <f>'DOE25'!J204+'DOE25'!J222+'DOE25'!J240</f>
        <v>0</v>
      </c>
      <c r="G8" s="53">
        <f>'DOE25'!K204+'DOE25'!K222+'DOE25'!K240</f>
        <v>2156.41</v>
      </c>
      <c r="H8" s="259"/>
    </row>
    <row r="9" spans="1:9" x14ac:dyDescent="0.2">
      <c r="A9" s="32">
        <v>2310</v>
      </c>
      <c r="B9" t="s">
        <v>812</v>
      </c>
      <c r="C9" s="245">
        <f t="shared" si="0"/>
        <v>18758.759999999998</v>
      </c>
      <c r="D9" s="244">
        <v>18758.759999999998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7950</v>
      </c>
      <c r="D10" s="243"/>
      <c r="E10" s="244">
        <v>7950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32669</v>
      </c>
      <c r="D11" s="244">
        <v>32669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87469.7</v>
      </c>
      <c r="D12" s="20">
        <f>'DOE25'!L205+'DOE25'!L223+'DOE25'!L241-F12-G12</f>
        <v>85903.8</v>
      </c>
      <c r="E12" s="243"/>
      <c r="F12" s="255">
        <f>'DOE25'!J205+'DOE25'!J223+'DOE25'!J241</f>
        <v>481.97</v>
      </c>
      <c r="G12" s="53">
        <f>'DOE25'!K205+'DOE25'!K223+'DOE25'!K241</f>
        <v>1083.93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50320.19</v>
      </c>
      <c r="D14" s="20">
        <f>'DOE25'!L207+'DOE25'!L225+'DOE25'!L243-F14-G14</f>
        <v>49729.07</v>
      </c>
      <c r="E14" s="243"/>
      <c r="F14" s="255">
        <f>'DOE25'!J207+'DOE25'!J225+'DOE25'!J243</f>
        <v>591.12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51219</v>
      </c>
      <c r="D15" s="20">
        <f>'DOE25'!L208+'DOE25'!L226+'DOE25'!L244-F15-G15</f>
        <v>51219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12662.5</v>
      </c>
      <c r="D22" s="243"/>
      <c r="E22" s="243"/>
      <c r="F22" s="255">
        <f>'DOE25'!L255+'DOE25'!L336</f>
        <v>12662.5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28937.68</v>
      </c>
      <c r="D29" s="20">
        <f>'DOE25'!L358+'DOE25'!L359+'DOE25'!L360-'DOE25'!I367-F29-G29</f>
        <v>26938.68</v>
      </c>
      <c r="E29" s="243"/>
      <c r="F29" s="255">
        <f>'DOE25'!J358+'DOE25'!J359+'DOE25'!J360</f>
        <v>1999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43237.399999999994</v>
      </c>
      <c r="D31" s="20">
        <f>'DOE25'!L290+'DOE25'!L309+'DOE25'!L328+'DOE25'!L333+'DOE25'!L334+'DOE25'!L335-F31-G31</f>
        <v>36177.17</v>
      </c>
      <c r="E31" s="243"/>
      <c r="F31" s="255">
        <f>'DOE25'!J290+'DOE25'!J309+'DOE25'!J328+'DOE25'!J333+'DOE25'!J334+'DOE25'!J335</f>
        <v>7060.23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871020.10000000009</v>
      </c>
      <c r="E33" s="246">
        <f>SUM(E5:E31)</f>
        <v>71767.210000000006</v>
      </c>
      <c r="F33" s="246">
        <f>SUM(F5:F31)</f>
        <v>22794.82</v>
      </c>
      <c r="G33" s="246">
        <f>SUM(G5:G31)</f>
        <v>3240.34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71767.210000000006</v>
      </c>
      <c r="E35" s="249"/>
    </row>
    <row r="36" spans="2:8" ht="12" thickTop="1" x14ac:dyDescent="0.2">
      <c r="B36" t="s">
        <v>809</v>
      </c>
      <c r="D36" s="20">
        <f>D33</f>
        <v>871020.10000000009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STARK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80907.17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290093.78000000003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2338.29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313.35000000000002</v>
      </c>
      <c r="E13" s="95">
        <f>'DOE25'!H14</f>
        <v>2024.94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83245.459999999992</v>
      </c>
      <c r="D18" s="41">
        <f>SUM(D8:D17)</f>
        <v>313.35000000000002</v>
      </c>
      <c r="E18" s="41">
        <f>SUM(E8:E17)</f>
        <v>2024.94</v>
      </c>
      <c r="F18" s="41">
        <f>SUM(F8:F17)</f>
        <v>0</v>
      </c>
      <c r="G18" s="41">
        <f>SUM(G8:G17)</f>
        <v>290093.78000000003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313.35000000000002</v>
      </c>
      <c r="E21" s="95">
        <f>'DOE25'!H22</f>
        <v>2024.94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9139.94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9139.94</v>
      </c>
      <c r="D31" s="41">
        <f>SUM(D21:D30)</f>
        <v>313.35000000000002</v>
      </c>
      <c r="E31" s="41">
        <f>SUM(E21:E30)</f>
        <v>2024.94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290093.78000000003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16177.25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57928.27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74105.51999999999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290093.78000000003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83245.459999999992</v>
      </c>
      <c r="D51" s="41">
        <f>D50+D31</f>
        <v>313.35000000000002</v>
      </c>
      <c r="E51" s="41">
        <f>E50+E31</f>
        <v>2024.94</v>
      </c>
      <c r="F51" s="41">
        <f>F50+F31</f>
        <v>0</v>
      </c>
      <c r="G51" s="41">
        <f>G50+G31</f>
        <v>290093.78000000003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525919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16365.99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346.76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3781.88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8452.7000000000007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22.41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16735.16</v>
      </c>
      <c r="D62" s="130">
        <f>SUM(D57:D61)</f>
        <v>8452.7000000000007</v>
      </c>
      <c r="E62" s="130">
        <f>SUM(E57:E61)</f>
        <v>0</v>
      </c>
      <c r="F62" s="130">
        <f>SUM(F57:F61)</f>
        <v>0</v>
      </c>
      <c r="G62" s="130">
        <f>SUM(G57:G61)</f>
        <v>3781.88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542654.16</v>
      </c>
      <c r="D63" s="22">
        <f>D56+D62</f>
        <v>8452.7000000000007</v>
      </c>
      <c r="E63" s="22">
        <f>E56+E62</f>
        <v>0</v>
      </c>
      <c r="F63" s="22">
        <f>F56+F62</f>
        <v>0</v>
      </c>
      <c r="G63" s="22">
        <f>G56+G62</f>
        <v>3781.88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237978.86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121171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359149.86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258.11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258.11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359149.86</v>
      </c>
      <c r="D81" s="130">
        <f>SUM(D79:D80)+D78+D70</f>
        <v>258.11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0</v>
      </c>
      <c r="D88" s="95">
        <f>SUM('DOE25'!G153:G161)</f>
        <v>6517.69</v>
      </c>
      <c r="E88" s="95">
        <f>SUM('DOE25'!H153:H161)</f>
        <v>43237.4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0</v>
      </c>
      <c r="D91" s="131">
        <f>SUM(D85:D90)</f>
        <v>6517.69</v>
      </c>
      <c r="E91" s="131">
        <f>SUM(E85:E90)</f>
        <v>43237.4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13709.18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13709.18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901804.02</v>
      </c>
      <c r="D104" s="86">
        <f>D63+D81+D91+D103</f>
        <v>28937.68</v>
      </c>
      <c r="E104" s="86">
        <f>E63+E81+E91+E103</f>
        <v>43237.4</v>
      </c>
      <c r="F104" s="86">
        <f>F63+F81+F91+F103</f>
        <v>0</v>
      </c>
      <c r="G104" s="86">
        <f>G63+G81+G103</f>
        <v>3781.88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544522.54</v>
      </c>
      <c r="D109" s="24" t="s">
        <v>286</v>
      </c>
      <c r="E109" s="95">
        <f>('DOE25'!L276)+('DOE25'!L295)+('DOE25'!L314)</f>
        <v>24096.36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6783.6399999999994</v>
      </c>
      <c r="D110" s="24" t="s">
        <v>286</v>
      </c>
      <c r="E110" s="95">
        <f>('DOE25'!L277)+('DOE25'!L296)+('DOE25'!L315)</f>
        <v>3309.77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3864.79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555170.97000000009</v>
      </c>
      <c r="D115" s="86">
        <f>SUM(D109:D114)</f>
        <v>0</v>
      </c>
      <c r="E115" s="86">
        <f>SUM(E109:E114)</f>
        <v>27406.13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10382.51</v>
      </c>
      <c r="D118" s="24" t="s">
        <v>286</v>
      </c>
      <c r="E118" s="95">
        <f>+('DOE25'!L281)+('DOE25'!L300)+('DOE25'!L319)</f>
        <v>15831.27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4071.14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117401.38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87469.7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50320.19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51219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28937.68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320863.92</v>
      </c>
      <c r="D128" s="86">
        <f>SUM(D118:D127)</f>
        <v>28937.68</v>
      </c>
      <c r="E128" s="86">
        <f>SUM(E118:E127)</f>
        <v>15831.27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12662.5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13709.18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3781.88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-3781.88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5959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32330.68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908365.57000000018</v>
      </c>
      <c r="D145" s="86">
        <f>(D115+D128+D144)</f>
        <v>28937.68</v>
      </c>
      <c r="E145" s="86">
        <f>(E115+E128+E144)</f>
        <v>43237.4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STARK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19656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19656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568619</v>
      </c>
      <c r="D10" s="182">
        <f>ROUND((C10/$C$28)*100,1)</f>
        <v>60.1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10093</v>
      </c>
      <c r="D11" s="182">
        <f>ROUND((C11/$C$28)*100,1)</f>
        <v>1.1000000000000001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3865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26214</v>
      </c>
      <c r="D15" s="182">
        <f t="shared" ref="D15:D27" si="0">ROUND((C15/$C$28)*100,1)</f>
        <v>2.8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4071</v>
      </c>
      <c r="D16" s="182">
        <f t="shared" si="0"/>
        <v>0.4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117401</v>
      </c>
      <c r="D17" s="182">
        <f t="shared" si="0"/>
        <v>12.4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87470</v>
      </c>
      <c r="D18" s="182">
        <f t="shared" si="0"/>
        <v>9.1999999999999993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50320</v>
      </c>
      <c r="D20" s="182">
        <f t="shared" si="0"/>
        <v>5.3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51219</v>
      </c>
      <c r="D21" s="182">
        <f t="shared" si="0"/>
        <v>5.4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5959</v>
      </c>
      <c r="D26" s="182">
        <f t="shared" si="0"/>
        <v>0.6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20485.3</v>
      </c>
      <c r="D27" s="182">
        <f t="shared" si="0"/>
        <v>2.2000000000000002</v>
      </c>
    </row>
    <row r="28" spans="1:4" x14ac:dyDescent="0.2">
      <c r="B28" s="187" t="s">
        <v>717</v>
      </c>
      <c r="C28" s="180">
        <f>SUM(C10:C27)</f>
        <v>945716.3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12663</v>
      </c>
    </row>
    <row r="30" spans="1:4" x14ac:dyDescent="0.2">
      <c r="B30" s="187" t="s">
        <v>723</v>
      </c>
      <c r="C30" s="180">
        <f>SUM(C28:C29)</f>
        <v>958379.3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525919</v>
      </c>
      <c r="D35" s="182">
        <f t="shared" ref="D35:D40" si="1">ROUND((C35/$C$41)*100,1)</f>
        <v>55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20517.040000000037</v>
      </c>
      <c r="D36" s="182">
        <f t="shared" si="1"/>
        <v>2.1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359150</v>
      </c>
      <c r="D37" s="182">
        <f t="shared" si="1"/>
        <v>37.6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258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49755</v>
      </c>
      <c r="D39" s="182">
        <f t="shared" si="1"/>
        <v>5.2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955599.04</v>
      </c>
      <c r="D41" s="184">
        <f>SUM(D35:D40)</f>
        <v>99.9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STARK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2018-07-31T14:55:51Z</cp:lastPrinted>
  <dcterms:created xsi:type="dcterms:W3CDTF">1997-12-04T19:04:30Z</dcterms:created>
  <dcterms:modified xsi:type="dcterms:W3CDTF">2018-07-31T15:04:41Z</dcterms:modified>
</cp:coreProperties>
</file>