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B21" i="12" l="1"/>
  <c r="B12" i="12"/>
  <c r="H528" i="1"/>
  <c r="H526" i="1"/>
  <c r="H281" i="1"/>
  <c r="H358" i="1"/>
  <c r="H282" i="1"/>
  <c r="H244" i="1"/>
  <c r="H240" i="1"/>
  <c r="H208" i="1"/>
  <c r="H207" i="1"/>
  <c r="H205" i="1"/>
  <c r="H204" i="1"/>
  <c r="K203" i="1"/>
  <c r="H202" i="1"/>
  <c r="H197" i="1"/>
  <c r="H161" i="1" l="1"/>
  <c r="H155" i="1"/>
  <c r="H154" i="1"/>
  <c r="G48" i="1"/>
  <c r="G24" i="1"/>
  <c r="H23" i="1"/>
  <c r="H13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E121" i="2" s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H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A31" i="12"/>
  <c r="A40" i="12"/>
  <c r="D12" i="13"/>
  <c r="C12" i="13" s="1"/>
  <c r="D62" i="2"/>
  <c r="D63" i="2" s="1"/>
  <c r="D18" i="13"/>
  <c r="C18" i="13" s="1"/>
  <c r="D7" i="13"/>
  <c r="C7" i="13" s="1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H571" i="1"/>
  <c r="L560" i="1"/>
  <c r="J545" i="1"/>
  <c r="H338" i="1"/>
  <c r="H352" i="1" s="1"/>
  <c r="G192" i="1"/>
  <c r="H192" i="1"/>
  <c r="C35" i="10"/>
  <c r="L309" i="1"/>
  <c r="E16" i="13"/>
  <c r="J655" i="1"/>
  <c r="J645" i="1"/>
  <c r="L570" i="1"/>
  <c r="I571" i="1"/>
  <c r="J636" i="1"/>
  <c r="G36" i="2"/>
  <c r="L565" i="1"/>
  <c r="H545" i="1"/>
  <c r="C22" i="13"/>
  <c r="C138" i="2"/>
  <c r="C16" i="13"/>
  <c r="C70" i="2" l="1"/>
  <c r="C120" i="2"/>
  <c r="K551" i="1"/>
  <c r="L545" i="1"/>
  <c r="K552" i="1"/>
  <c r="G476" i="1"/>
  <c r="H623" i="1" s="1"/>
  <c r="J623" i="1" s="1"/>
  <c r="F476" i="1"/>
  <c r="H622" i="1" s="1"/>
  <c r="H476" i="1"/>
  <c r="H624" i="1" s="1"/>
  <c r="J624" i="1" s="1"/>
  <c r="I661" i="1"/>
  <c r="L362" i="1"/>
  <c r="D145" i="2"/>
  <c r="E128" i="2"/>
  <c r="C18" i="10"/>
  <c r="C16" i="10"/>
  <c r="E112" i="2"/>
  <c r="E115" i="2"/>
  <c r="L290" i="1"/>
  <c r="L338" i="1" s="1"/>
  <c r="L352" i="1" s="1"/>
  <c r="G633" i="1" s="1"/>
  <c r="J633" i="1" s="1"/>
  <c r="G651" i="1"/>
  <c r="J651" i="1" s="1"/>
  <c r="H647" i="1"/>
  <c r="J647" i="1" s="1"/>
  <c r="F257" i="1"/>
  <c r="F271" i="1" s="1"/>
  <c r="E8" i="13"/>
  <c r="C8" i="13" s="1"/>
  <c r="I257" i="1"/>
  <c r="I271" i="1" s="1"/>
  <c r="C17" i="10"/>
  <c r="K257" i="1"/>
  <c r="K271" i="1" s="1"/>
  <c r="L247" i="1"/>
  <c r="H660" i="1" s="1"/>
  <c r="H664" i="1" s="1"/>
  <c r="H667" i="1" s="1"/>
  <c r="C15" i="10"/>
  <c r="C11" i="10"/>
  <c r="G257" i="1"/>
  <c r="G271" i="1" s="1"/>
  <c r="H257" i="1"/>
  <c r="H271" i="1" s="1"/>
  <c r="C132" i="2"/>
  <c r="H33" i="13"/>
  <c r="C124" i="2"/>
  <c r="F662" i="1"/>
  <c r="I662" i="1" s="1"/>
  <c r="C21" i="10"/>
  <c r="D15" i="13"/>
  <c r="C15" i="13" s="1"/>
  <c r="G649" i="1"/>
  <c r="J649" i="1" s="1"/>
  <c r="D14" i="13"/>
  <c r="C14" i="13" s="1"/>
  <c r="C123" i="2"/>
  <c r="D6" i="13"/>
  <c r="C6" i="13" s="1"/>
  <c r="D5" i="13"/>
  <c r="C5" i="13" s="1"/>
  <c r="L211" i="1"/>
  <c r="C110" i="2"/>
  <c r="C109" i="2"/>
  <c r="C10" i="10"/>
  <c r="J476" i="1"/>
  <c r="H626" i="1" s="1"/>
  <c r="J644" i="1"/>
  <c r="I460" i="1"/>
  <c r="I461" i="1" s="1"/>
  <c r="H642" i="1" s="1"/>
  <c r="I446" i="1"/>
  <c r="G642" i="1" s="1"/>
  <c r="J639" i="1"/>
  <c r="C78" i="2"/>
  <c r="C81" i="2"/>
  <c r="C62" i="2"/>
  <c r="C63" i="2" s="1"/>
  <c r="H52" i="1"/>
  <c r="H619" i="1" s="1"/>
  <c r="J619" i="1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G672" i="1" l="1"/>
  <c r="C5" i="10" s="1"/>
  <c r="E145" i="2"/>
  <c r="F660" i="1"/>
  <c r="F664" i="1" s="1"/>
  <c r="F667" i="1" s="1"/>
  <c r="D31" i="13"/>
  <c r="C31" i="13" s="1"/>
  <c r="E33" i="13"/>
  <c r="D35" i="13" s="1"/>
  <c r="H672" i="1"/>
  <c r="C6" i="10" s="1"/>
  <c r="C128" i="2"/>
  <c r="L257" i="1"/>
  <c r="L271" i="1" s="1"/>
  <c r="G632" i="1" s="1"/>
  <c r="J632" i="1" s="1"/>
  <c r="C115" i="2"/>
  <c r="C28" i="10"/>
  <c r="D16" i="10" s="1"/>
  <c r="J642" i="1"/>
  <c r="H646" i="1"/>
  <c r="J646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0" i="1"/>
  <c r="I664" i="1" s="1"/>
  <c r="I672" i="1" s="1"/>
  <c r="C7" i="10" s="1"/>
  <c r="F672" i="1"/>
  <c r="C4" i="10" s="1"/>
  <c r="C145" i="2"/>
  <c r="D11" i="10"/>
  <c r="D27" i="10"/>
  <c r="D17" i="10"/>
  <c r="D24" i="10"/>
  <c r="D10" i="10"/>
  <c r="C30" i="10"/>
  <c r="D23" i="10"/>
  <c r="D18" i="10"/>
  <c r="D15" i="10"/>
  <c r="D19" i="10"/>
  <c r="D22" i="10"/>
  <c r="D20" i="10"/>
  <c r="D25" i="10"/>
  <c r="D13" i="10"/>
  <c r="D21" i="10"/>
  <c r="D12" i="10"/>
  <c r="D2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<sst xmlns="http://schemas.openxmlformats.org/spreadsheetml/2006/main" count="3957" uniqueCount="913">
  <si>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</si>
  <si>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</si>
  <si>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</si>
  <si>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</si>
  <si>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</si>
  <si>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</si>
  <si>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</si>
  <si>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</si>
  <si>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</si>
  <si>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</si>
  <si>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</si>
  <si>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</si>
  <si>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</si>
  <si>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</si>
  <si>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</si>
  <si>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</si>
  <si>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</si>
  <si>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</si>
  <si>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</si>
  <si>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</si>
  <si>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</si>
  <si>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</si>
  <si>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</si>
  <si>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</si>
  <si>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</si>
  <si>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</si>
  <si>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</si>
  <si>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</si>
  <si>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</si>
  <si>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</si>
  <si>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</si>
  <si>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</si>
  <si>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</si>
  <si>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</si>
  <si>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</si>
  <si>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</si>
  <si>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</si>
  <si>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</si>
  <si>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</si>
  <si>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</si>
  <si>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</si>
  <si>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</si>
  <si>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</si>
  <si>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</si>
  <si>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</si>
  <si>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</si>
  <si>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</si>
  <si>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</si>
  <si>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</si>
  <si>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</si>
  <si>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</si>
  <si>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</si>
  <si>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</si>
  <si>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</si>
  <si>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</si>
  <si>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</si>
  <si>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</si>
  <si>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</si>
  <si>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</si>
  <si>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</si>
  <si>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</si>
  <si>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</si>
  <si>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</si>
  <si>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</si>
  <si>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</si>
  <si>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</si>
  <si>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</si>
  <si>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</si>
  <si>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</si>
  <si>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</si>
  <si>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</si>
  <si>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</si>
  <si>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</si>
  <si>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</si>
  <si>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</si>
  <si>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</si>
  <si>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</si>
  <si>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</si>
  <si>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</si>
  <si>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</si>
  <si>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</si>
  <si>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</si>
  <si>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</si>
  <si>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</si>
  <si>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</si>
  <si>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</si>
  <si>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</si>
  <si>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</si>
  <si>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</si>
  <si>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</si>
  <si>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</si>
  <si>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</si>
  <si>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</si>
  <si>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</si>
  <si>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</si>
  <si>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</si>
  <si>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</si>
  <si>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</si>
  <si>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</si>
  <si>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</si>
  <si>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</si>
  <si>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</si>
  <si>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</si>
  <si>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</si>
  <si>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</si>
  <si>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</si>
  <si>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</si>
  <si>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</si>
  <si>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</si>
  <si>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</si>
  <si>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</si>
  <si>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</si>
  <si>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</si>
  <si>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</si>
  <si>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</si>
  <si>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</si>
  <si>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</si>
  <si>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</si>
  <si>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</si>
  <si>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</si>
  <si>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</si>
  <si>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</si>
  <si>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</si>
  <si>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</si>
  <si>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</si>
  <si>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</si>
  <si>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</si>
  <si>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</si>
  <si>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</si>
  <si>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</si>
  <si>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</si>
  <si>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</si>
  <si>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</si>
  <si>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</si>
  <si>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</si>
  <si>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</si>
  <si>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</si>
  <si>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</si>
  <si>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</si>
  <si>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</si>
  <si>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</si>
  <si>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</si>
  <si>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</si>
  <si>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</si>
  <si>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</si>
  <si>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</si>
  <si>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</si>
  <si>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</si>
  <si>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</si>
  <si>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</si>
  <si>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</si>
  <si>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</si>
  <si>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</si>
  <si>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</si>
  <si>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</si>
  <si>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</si>
  <si>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</si>
  <si>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</si>
  <si>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</si>
  <si>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</si>
  <si>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</si>
  <si>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</si>
  <si>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</si>
  <si>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</si>
  <si>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</si>
  <si>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</si>
  <si>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</si>
  <si>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</si>
  <si>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</si>
  <si>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</si>
  <si>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</si>
  <si>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</si>
  <si>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</si>
  <si>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</si>
  <si>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</si>
  <si>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</si>
  <si>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</si>
  <si>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</si>
  <si>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</si>
  <si>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</si>
  <si>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</si>
  <si>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</si>
  <si>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</si>
  <si>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</si>
  <si>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</si>
  <si>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</si>
  <si>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</si>
  <si>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</si>
  <si>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</si>
  <si>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</si>
  <si>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</si>
  <si>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</si>
  <si>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</si>
  <si>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</si>
  <si>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</si>
  <si>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</si>
  <si>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</si>
  <si>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</si>
  <si>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</si>
  <si>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</si>
  <si>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</si>
  <si>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</si>
  <si>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</si>
  <si>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</si>
  <si>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</si>
  <si>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</si>
  <si>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</si>
  <si>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</si>
  <si>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</si>
  <si>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</si>
  <si>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</si>
  <si>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</si>
  <si>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</si>
  <si>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</si>
  <si>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</si>
  <si>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</si>
  <si>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</si>
  <si>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</si>
  <si>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</si>
  <si>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</si>
  <si>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</si>
  <si>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</si>
  <si>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</si>
  <si>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</si>
  <si>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</si>
  <si>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</si>
  <si>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</si>
  <si>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</si>
  <si>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</si>
  <si>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</si>
  <si>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</si>
  <si>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</si>
  <si>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</si>
  <si>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</si>
  <si>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</si>
  <si>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</si>
  <si>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</si>
  <si>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</si>
  <si>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</si>
  <si>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</si>
  <si>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</si>
  <si>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</si>
  <si>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</si>
  <si>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</si>
  <si>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</si>
  <si>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</si>
  <si>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</si>
  <si>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</si>
  <si>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</si>
  <si>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</si>
  <si>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</si>
  <si>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</si>
  <si>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</si>
  <si>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</si>
  <si>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</si>
  <si>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</si>
  <si>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</si>
  <si>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</si>
  <si>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</si>
  <si>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</si>
  <si>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</si>
  <si>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</si>
  <si>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</si>
  <si>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</si>
  <si>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</si>
  <si>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</si>
  <si>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</si>
  <si>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</si>
  <si>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</si>
  <si>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</si>
  <si>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</si>
  <si>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</si>
  <si>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</si>
  <si>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</si>
  <si>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</si>
  <si>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</si>
  <si>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</si>
  <si>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</si>
  <si>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</si>
  <si>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</si>
  <si>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</si>
  <si>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</si>
  <si>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</si>
  <si>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</si>
  <si>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</si>
  <si>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</si>
  <si>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</si>
  <si>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</si>
  <si>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</si>
  <si>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</si>
  <si>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</si>
  <si>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</si>
  <si>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</si>
  <si>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</si>
  <si>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</si>
  <si>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</si>
  <si>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</si>
  <si>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</si>
  <si>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</si>
  <si>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</si>
  <si>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</si>
  <si>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</si>
  <si>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</si>
  <si>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</si>
  <si>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</si>
  <si>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</si>
  <si>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</si>
  <si>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</si>
  <si>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</si>
  <si>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</si>
  <si>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</si>
  <si>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</si>
  <si>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</si>
  <si>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</si>
  <si>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</si>
  <si>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</si>
  <si>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</si>
  <si>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</si>
  <si>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</si>
  <si>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</si>
  <si>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</si>
  <si>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</si>
  <si>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</si>
  <si>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</si>
  <si>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</si>
  <si>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</si>
  <si>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</si>
  <si>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</si>
  <si>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</si>
  <si>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</si>
  <si>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</si>
  <si>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</si>
  <si>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</si>
  <si>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</si>
  <si>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</si>
  <si>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</si>
  <si>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</si>
  <si>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</si>
  <si>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</si>
  <si>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</si>
  <si>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</si>
  <si>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</si>
  <si>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</si>
  <si>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</si>
  <si>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</si>
  <si>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</si>
  <si>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</si>
  <si>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</si>
  <si>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</si>
  <si>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</si>
  <si>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</si>
  <si>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</si>
  <si>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</si>
  <si>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</si>
  <si>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</si>
  <si>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</si>
  <si>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</si>
  <si>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</si>
  <si>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</si>
  <si>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</si>
  <si>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</si>
  <si>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</si>
  <si>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</si>
  <si>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</si>
  <si>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</si>
  <si>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</si>
  <si>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</si>
  <si>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</si>
  <si>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</si>
  <si>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</si>
  <si>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</si>
  <si>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</si>
  <si>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</si>
  <si>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</si>
  <si>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</si>
  <si>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</si>
  <si>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</si>
  <si>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</si>
  <si>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</si>
  <si>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</si>
  <si>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</si>
  <si>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</si>
  <si>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</si>
  <si>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</si>
  <si>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</si>
  <si>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</si>
  <si>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</si>
  <si>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</si>
  <si>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</si>
  <si>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</si>
  <si>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</si>
  <si>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</si>
  <si>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</si>
  <si>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</si>
  <si>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</si>
  <si>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</si>
  <si>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</si>
  <si>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</si>
  <si>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</si>
  <si>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</si>
  <si>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</si>
  <si>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</si>
  <si>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</si>
  <si>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</si>
  <si>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</si>
  <si>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</si>
  <si>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</si>
  <si>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</si>
  <si>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</si>
  <si>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</si>
  <si>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</si>
  <si>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</si>
  <si>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</si>
  <si>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</si>
  <si>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</si>
  <si>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</si>
  <si>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</si>
  <si>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</si>
  <si>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</si>
  <si>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</si>
  <si>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</si>
  <si>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</si>
  <si>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</si>
  <si>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</si>
  <si>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</si>
  <si>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</si>
  <si>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</si>
  <si>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</si>
  <si>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</si>
  <si>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</si>
  <si>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</si>
  <si>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</si>
  <si>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</si>
  <si>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</si>
  <si>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</si>
  <si>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</si>
  <si>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</si>
  <si>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</si>
  <si>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</si>
  <si>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</si>
  <si>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</si>
  <si>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</si>
  <si>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</si>
  <si>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</si>
  <si>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</si>
  <si>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</si>
  <si>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</si>
  <si>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</si>
  <si>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</si>
  <si>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</si>
  <si>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</si>
  <si>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</si>
  <si>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</si>
  <si>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</si>
  <si>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</si>
  <si>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</si>
  <si>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</si>
  <si>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</si>
  <si>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</si>
  <si>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</si>
  <si>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</si>
  <si>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</si>
  <si>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</si>
  <si>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</si>
  <si>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</si>
  <si>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</si>
  <si>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</si>
  <si>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</si>
  <si>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</si>
  <si>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</si>
  <si>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</si>
  <si>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</si>
  <si>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</si>
  <si>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</si>
  <si>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</si>
  <si>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</si>
  <si>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</si>
  <si>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</si>
  <si>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</si>
  <si>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</si>
  <si>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</si>
  <si>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</si>
  <si>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</si>
  <si>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</si>
  <si>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</si>
  <si>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</si>
  <si>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</si>
  <si>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</si>
  <si>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</si>
  <si>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</si>
  <si>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</si>
  <si>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</si>
  <si>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</si>
  <si>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</si>
  <si>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</si>
  <si>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</si>
  <si>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</si>
  <si>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</si>
  <si>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</si>
  <si>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</si>
  <si>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</si>
  <si>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</si>
  <si>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</si>
  <si>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</si>
  <si>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</si>
  <si>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</si>
  <si>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</si>
  <si>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</si>
  <si>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</si>
  <si>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</si>
  <si>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</si>
  <si>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</si>
  <si>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</si>
  <si>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</si>
  <si>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</si>
  <si>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</si>
  <si>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</si>
  <si>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</si>
  <si>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</si>
  <si>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</si>
  <si>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</si>
  <si>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</si>
  <si>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</si>
  <si>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</si>
  <si>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</si>
  <si>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</si>
  <si>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</si>
  <si>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</si>
  <si>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</si>
  <si>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</si>
  <si>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</si>
  <si>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</si>
  <si>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</si>
  <si>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</si>
  <si>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</si>
  <si>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</si>
  <si>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</si>
  <si>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</si>
  <si>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</si>
  <si>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</si>
  <si>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</si>
  <si>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</si>
  <si>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</si>
  <si>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</si>
  <si>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</si>
  <si>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</si>
  <si>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</si>
  <si>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</si>
  <si>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</si>
  <si>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</si>
  <si>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</si>
  <si>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</si>
  <si>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</si>
  <si>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</si>
  <si>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</si>
  <si>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</si>
  <si>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</si>
  <si>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</si>
  <si>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</si>
  <si>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</si>
  <si>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</si>
  <si>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</si>
  <si>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</si>
  <si>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</si>
  <si>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</si>
  <si>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</si>
  <si>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</si>
  <si>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</si>
  <si>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</si>
  <si>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</si>
  <si>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</si>
  <si>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</si>
  <si>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</si>
  <si>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</si>
  <si>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</si>
  <si>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</si>
  <si>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</si>
  <si>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</si>
  <si>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</si>
  <si>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</si>
  <si>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</si>
  <si>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</si>
  <si>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</si>
  <si>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</si>
  <si>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</si>
  <si>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</si>
  <si>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</si>
  <si>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</si>
  <si>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</si>
  <si>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</si>
  <si>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</si>
  <si>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</si>
  <si>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</si>
  <si>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</si>
  <si>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</si>
  <si>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</si>
  <si>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</si>
  <si>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</si>
  <si>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</si>
  <si>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</si>
  <si>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</si>
  <si>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</si>
  <si>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</si>
  <si>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</si>
  <si>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</si>
  <si>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</si>
  <si>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</si>
  <si>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</si>
  <si>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</si>
  <si>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</si>
  <si>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</si>
  <si>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</si>
  <si>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</si>
  <si>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</si>
  <si>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</si>
  <si>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</si>
  <si>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</si>
  <si>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</si>
  <si>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</si>
  <si>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</si>
  <si>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</si>
  <si>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</si>
  <si>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</si>
  <si>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</si>
  <si>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</si>
  <si>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</si>
  <si>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</si>
  <si>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</si>
  <si>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</si>
  <si>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</si>
  <si>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</si>
  <si>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</si>
  <si>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</si>
  <si>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</si>
  <si>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</si>
  <si>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</si>
  <si>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</si>
  <si>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</si>
  <si>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</si>
  <si>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</si>
  <si>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</si>
  <si>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</si>
  <si>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</si>
  <si>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</si>
  <si>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</si>
  <si>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</si>
  <si>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</si>
  <si>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</si>
  <si>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</si>
  <si>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</si>
  <si>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</si>
  <si>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</si>
  <si>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</si>
  <si>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</si>
  <si>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</si>
  <si>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</si>
  <si>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</si>
  <si>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</si>
  <si>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</si>
  <si>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</si>
  <si>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</si>
  <si>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</si>
  <si>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</si>
  <si>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</si>
  <si>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</si>
  <si>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</si>
  <si>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</si>
  <si>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</si>
  <si>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</si>
  <si>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</si>
  <si>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</si>
  <si>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</si>
  <si>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</si>
  <si>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</si>
  <si>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</si>
  <si>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</si>
  <si>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</si>
  <si>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</si>
  <si>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</si>
  <si>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</si>
  <si>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</si>
  <si>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</si>
  <si>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</si>
  <si>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</si>
  <si>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</si>
  <si>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</si>
  <si>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</si>
  <si>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</si>
  <si>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</si>
  <si>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</si>
  <si>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</si>
  <si>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</si>
  <si>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</si>
  <si>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</si>
  <si>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</si>
  <si>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</si>
  <si>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</si>
  <si>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</si>
  <si>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</si>
  <si>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</si>
  <si>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</si>
  <si>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</si>
  <si>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</si>
  <si>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</si>
  <si>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</si>
  <si>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</si>
  <si>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</si>
  <si>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</si>
  <si>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</si>
  <si>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</si>
  <si>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</si>
  <si>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</si>
  <si>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</si>
  <si>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</si>
  <si>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</si>
  <si>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</si>
  <si>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</si>
  <si>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</si>
  <si>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</si>
  <si>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</si>
  <si>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</si>
  <si>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</si>
  <si>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</si>
  <si>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</si>
  <si>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</si>
  <si>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</si>
  <si>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</si>
  <si>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</si>
  <si>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</si>
  <si>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</si>
  <si>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</si>
  <si>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</si>
  <si>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</si>
  <si>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</si>
  <si>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</si>
  <si>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</si>
  <si>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</si>
  <si>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</si>
  <si>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</si>
  <si>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</si>
  <si>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</si>
  <si>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</si>
  <si>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</si>
  <si>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</si>
  <si>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</si>
  <si>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</si>
  <si>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</si>
  <si>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</si>
  <si>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</si>
  <si>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</si>
  <si>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</si>
  <si>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</si>
  <si>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</si>
  <si>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</si>
  <si>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</si>
  <si>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</si>
  <si>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</si>
  <si>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</si>
  <si>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</si>
  <si>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</si>
  <si>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</si>
  <si>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</si>
  <si>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</si>
  <si>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</si>
  <si>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</si>
  <si>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</si>
  <si>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</si>
  <si>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</si>
  <si>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</si>
  <si>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</si>
  <si>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</si>
  <si>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</si>
  <si>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</si>
  <si>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</si>
  <si>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</si>
  <si>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</si>
  <si>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</si>
  <si>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</si>
  <si>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</si>
  <si>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</si>
  <si>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</si>
  <si>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</si>
  <si>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</si>
  <si>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</si>
  <si>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</si>
  <si>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</si>
  <si>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</si>
  <si>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</si>
  <si>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</si>
  <si>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</si>
  <si>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</si>
  <si>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</si>
  <si>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</si>
  <si>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</si>
  <si>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</si>
  <si>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</si>
  <si>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</si>
  <si>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</si>
  <si>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</si>
  <si>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</si>
  <si>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</si>
  <si>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</si>
  <si>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</si>
  <si>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</si>
  <si>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</si>
  <si>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</si>
  <si>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</si>
  <si>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</si>
  <si>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</si>
  <si>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</si>
  <si>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</si>
  <si>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</si>
  <si>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</si>
  <si>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</si>
  <si>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</si>
  <si>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</si>
  <si>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</si>
  <si>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</si>
  <si>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</si>
  <si>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</si>
  <si>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</si>
  <si>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</si>
  <si>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</si>
  <si>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</si>
  <si>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</si>
  <si>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</si>
  <si>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</si>
  <si>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</si>
  <si>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</si>
  <si>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</si>
  <si>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</si>
  <si>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</si>
  <si>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</si>
  <si>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</si>
  <si>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</si>
  <si>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</si>
  <si>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</si>
  <si>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</si>
  <si>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</si>
  <si>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</si>
  <si>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</si>
  <si>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</si>
  <si>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</si>
  <si>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</si>
  <si>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</si>
  <si>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</si>
  <si>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</si>
  <si>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</si>
  <si>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</si>
  <si>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</si>
  <si>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</si>
  <si>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</si>
  <si>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</si>
  <si>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</si>
  <si>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</si>
  <si>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</si>
  <si>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</si>
  <si>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</si>
  <si>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</si>
  <si>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</si>
  <si>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</si>
  <si>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</si>
  <si>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</si>
  <si>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</si>
  <si>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</si>
  <si>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</si>
  <si>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</si>
  <si>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</si>
  <si>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</si>
  <si>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</si>
  <si>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</si>
  <si>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</si>
  <si>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</si>
  <si>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</si>
  <si>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</si>
  <si>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</si>
  <si>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</si>
  <si>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</si>
  <si>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</si>
  <si>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</si>
  <si>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</si>
  <si>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</si>
  <si>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</si>
  <si>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</si>
  <si>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</si>
  <si>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</si>
  <si>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</si>
  <si>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</si>
  <si>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</si>
  <si>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</si>
  <si>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</si>
  <si>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</si>
  <si>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</si>
  <si>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</si>
  <si>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</si>
  <si>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</si>
  <si>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</si>
  <si>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</si>
  <si>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</si>
  <si>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</si>
  <si>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</si>
  <si>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</si>
  <si>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</si>
  <si>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</si>
  <si>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</si>
  <si>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</si>
  <si>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</si>
  <si>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</si>
  <si>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</si>
  <si>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</si>
  <si>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</si>
  <si>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</si>
  <si>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Stewartstown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</si>
</sst>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501</v>
      </c>
      <c r="C2" s="21">
        <v>501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299985.37</v>
      </c>
      <c r="G9" s="18">
        <v>9319.7099999999991</v>
      </c>
      <c r="H9" s="18"/>
      <c r="I9" s="18"/>
      <c r="J9" s="67">
        <f>SUM(I439)</f>
        <v>206710.91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36107.5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68596.160000000003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1746.85</v>
      </c>
      <c r="G13" s="18">
        <v>1523.08</v>
      </c>
      <c r="H13" s="18">
        <f>85375.44+0.01</f>
        <v>85375.45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295.55</v>
      </c>
      <c r="G14" s="18">
        <v>137.66999999999999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2102.65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406731.43</v>
      </c>
      <c r="G19" s="41">
        <f>SUM(G9:G18)</f>
        <v>13083.109999999999</v>
      </c>
      <c r="H19" s="41">
        <f>SUM(H9:H18)</f>
        <v>85375.45</v>
      </c>
      <c r="I19" s="41">
        <f>SUM(I9:I18)</f>
        <v>0</v>
      </c>
      <c r="J19" s="41">
        <f>SUM(J9:J18)</f>
        <v>206710.91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f>68596.16</f>
        <v>68596.160000000003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21395.13</v>
      </c>
      <c r="G24" s="18">
        <f>3232.52+278.17</f>
        <v>3510.69</v>
      </c>
      <c r="H24" s="18">
        <v>4381.8500000000004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3606.49</v>
      </c>
      <c r="G28" s="18"/>
      <c r="H28" s="18">
        <v>11820.87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3757.56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576.57000000000005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28759.180000000004</v>
      </c>
      <c r="G32" s="41">
        <f>SUM(G22:G31)</f>
        <v>3510.69</v>
      </c>
      <c r="H32" s="41">
        <f>SUM(H22:H31)</f>
        <v>85375.450000000012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2102.65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38348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5615.02+57996.39-56141.64</f>
        <v>7469.7700000000041</v>
      </c>
      <c r="H48" s="18"/>
      <c r="I48" s="18"/>
      <c r="J48" s="13">
        <f>SUM(I459)</f>
        <v>206710.91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265446.07-1348+2071414.92-1995888.74</f>
        <v>339624.24999999977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377972.24999999977</v>
      </c>
      <c r="G51" s="41">
        <f>SUM(G35:G50)</f>
        <v>9572.4200000000037</v>
      </c>
      <c r="H51" s="41">
        <f>SUM(H35:H50)</f>
        <v>0</v>
      </c>
      <c r="I51" s="41">
        <f>SUM(I35:I50)</f>
        <v>0</v>
      </c>
      <c r="J51" s="41">
        <f>SUM(J35:J50)</f>
        <v>206710.91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406731.42999999976</v>
      </c>
      <c r="G52" s="41">
        <f>G51+G32</f>
        <v>13083.110000000004</v>
      </c>
      <c r="H52" s="41">
        <f>H51+H32</f>
        <v>85375.450000000012</v>
      </c>
      <c r="I52" s="41">
        <f>I51+I32</f>
        <v>0</v>
      </c>
      <c r="J52" s="41">
        <f>J51+J32</f>
        <v>206710.91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1373720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1373720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695.76</v>
      </c>
      <c r="G96" s="18"/>
      <c r="H96" s="18"/>
      <c r="I96" s="18"/>
      <c r="J96" s="18">
        <v>252.47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12669.72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5280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886.26</v>
      </c>
      <c r="G110" s="18"/>
      <c r="H110" s="18">
        <v>4473.18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6862.02</v>
      </c>
      <c r="G111" s="41">
        <f>SUM(G96:G110)</f>
        <v>12669.72</v>
      </c>
      <c r="H111" s="41">
        <f>SUM(H96:H110)</f>
        <v>4473.18</v>
      </c>
      <c r="I111" s="41">
        <f>SUM(I96:I110)</f>
        <v>0</v>
      </c>
      <c r="J111" s="41">
        <f>SUM(J96:J110)</f>
        <v>252.47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1380582.02</v>
      </c>
      <c r="G112" s="41">
        <f>G60+G111</f>
        <v>12669.72</v>
      </c>
      <c r="H112" s="41">
        <f>H60+H79+H94+H111</f>
        <v>4473.18</v>
      </c>
      <c r="I112" s="41">
        <f>I60+I111</f>
        <v>0</v>
      </c>
      <c r="J112" s="41">
        <f>J60+J111</f>
        <v>252.47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522421.14-2787.08</f>
        <v>519634.06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160204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2787.08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682625.14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3586.24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3023.87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3586.24</v>
      </c>
      <c r="G136" s="41">
        <f>SUM(G123:G135)</f>
        <v>3023.87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686211.38</v>
      </c>
      <c r="G140" s="41">
        <f>G121+SUM(G136:G137)</f>
        <v>3023.87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82838.65+10207.98+7984+3400.08+31623.69+3000+969</f>
        <v>140023.4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9476.91+2102.42</f>
        <v>11579.33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24702.799999999999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4621.5200000000004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f>10313.64+5649.75</f>
        <v>15963.39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4621.5200000000004</v>
      </c>
      <c r="G162" s="41">
        <f>SUM(G150:G161)</f>
        <v>24702.799999999999</v>
      </c>
      <c r="H162" s="41">
        <f>SUM(H150:H161)</f>
        <v>167566.12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4621.5200000000004</v>
      </c>
      <c r="G169" s="41">
        <f>G147+G162+SUM(G163:G168)</f>
        <v>24702.799999999999</v>
      </c>
      <c r="H169" s="41">
        <f>H147+H162+SUM(H163:H168)</f>
        <v>167566.12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17600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17600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17600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2071414.92</v>
      </c>
      <c r="G193" s="47">
        <f>G112+G140+G169+G192</f>
        <v>57996.39</v>
      </c>
      <c r="H193" s="47">
        <f>H112+H140+H169+H192</f>
        <v>172039.3</v>
      </c>
      <c r="I193" s="47">
        <f>I112+I140+I169+I192</f>
        <v>0</v>
      </c>
      <c r="J193" s="47">
        <f>J112+J140+J192</f>
        <v>252.47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270261.34999999998</v>
      </c>
      <c r="G197" s="18">
        <v>160655.59</v>
      </c>
      <c r="H197" s="18">
        <f>17340.15+1093.6+5809.98</f>
        <v>24243.73</v>
      </c>
      <c r="I197" s="18">
        <v>14164.1</v>
      </c>
      <c r="J197" s="18">
        <v>2410.87</v>
      </c>
      <c r="K197" s="18"/>
      <c r="L197" s="19">
        <f>SUM(F197:K197)</f>
        <v>471735.6399999999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119603.98</v>
      </c>
      <c r="G198" s="18">
        <v>25436.07</v>
      </c>
      <c r="H198" s="18"/>
      <c r="I198" s="18">
        <v>62.35</v>
      </c>
      <c r="J198" s="18">
        <v>486</v>
      </c>
      <c r="K198" s="18"/>
      <c r="L198" s="19">
        <f>SUM(F198:K198)</f>
        <v>145588.4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12299.94</v>
      </c>
      <c r="G202" s="18">
        <v>1014.5</v>
      </c>
      <c r="H202" s="18">
        <f>175222.98+260.7</f>
        <v>175483.68000000002</v>
      </c>
      <c r="I202" s="18">
        <v>1254.4000000000001</v>
      </c>
      <c r="J202" s="18">
        <v>3038.79</v>
      </c>
      <c r="K202" s="18">
        <v>2114.52</v>
      </c>
      <c r="L202" s="19">
        <f t="shared" ref="L202:L208" si="0">SUM(F202:K202)</f>
        <v>195205.83000000002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26192.25</v>
      </c>
      <c r="G203" s="18">
        <v>2182.15</v>
      </c>
      <c r="H203" s="18">
        <v>1926.28</v>
      </c>
      <c r="I203" s="18">
        <v>2132.15</v>
      </c>
      <c r="J203" s="18"/>
      <c r="K203" s="18">
        <f>1250.26+1450</f>
        <v>2700.26</v>
      </c>
      <c r="L203" s="19">
        <f t="shared" si="0"/>
        <v>35133.090000000004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2872.1</v>
      </c>
      <c r="G204" s="18">
        <v>274.56</v>
      </c>
      <c r="H204" s="18">
        <f>87468.67+6148.76</f>
        <v>93617.43</v>
      </c>
      <c r="I204" s="18">
        <v>331.57</v>
      </c>
      <c r="J204" s="18">
        <v>0</v>
      </c>
      <c r="K204" s="18">
        <v>2298.84</v>
      </c>
      <c r="L204" s="19">
        <f t="shared" si="0"/>
        <v>99394.5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87943.93</v>
      </c>
      <c r="G205" s="18">
        <v>45830.77</v>
      </c>
      <c r="H205" s="18">
        <f>1893.23+377.02+4006.79</f>
        <v>6277.04</v>
      </c>
      <c r="I205" s="18">
        <v>1468.86</v>
      </c>
      <c r="J205" s="18">
        <v>304.12</v>
      </c>
      <c r="K205" s="18">
        <v>1925</v>
      </c>
      <c r="L205" s="19">
        <f t="shared" si="0"/>
        <v>143749.71999999997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25846.14</v>
      </c>
      <c r="G207" s="18">
        <v>6098.82</v>
      </c>
      <c r="H207" s="18">
        <f>9838+21836.56+3767</f>
        <v>35441.56</v>
      </c>
      <c r="I207" s="18">
        <v>29570.48</v>
      </c>
      <c r="J207" s="18">
        <v>1186.82</v>
      </c>
      <c r="K207" s="18">
        <v>379.7</v>
      </c>
      <c r="L207" s="19">
        <f t="shared" si="0"/>
        <v>98523.51999999999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36370.720000000001</v>
      </c>
      <c r="G208" s="18">
        <v>4907.17</v>
      </c>
      <c r="H208" s="18">
        <f>27780.62+2750.87</f>
        <v>30531.489999999998</v>
      </c>
      <c r="I208" s="18">
        <v>9587.4500000000007</v>
      </c>
      <c r="J208" s="18"/>
      <c r="K208" s="18">
        <v>716.66</v>
      </c>
      <c r="L208" s="19">
        <f t="shared" si="0"/>
        <v>82113.490000000005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581390.40999999992</v>
      </c>
      <c r="G211" s="41">
        <f t="shared" si="1"/>
        <v>246399.63</v>
      </c>
      <c r="H211" s="41">
        <f t="shared" si="1"/>
        <v>367521.20999999996</v>
      </c>
      <c r="I211" s="41">
        <f t="shared" si="1"/>
        <v>58571.360000000001</v>
      </c>
      <c r="J211" s="41">
        <f t="shared" si="1"/>
        <v>7426.5999999999995</v>
      </c>
      <c r="K211" s="41">
        <f t="shared" si="1"/>
        <v>10134.980000000001</v>
      </c>
      <c r="L211" s="41">
        <f t="shared" si="1"/>
        <v>1271444.1899999997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580892.53</v>
      </c>
      <c r="I233" s="18"/>
      <c r="J233" s="18"/>
      <c r="K233" s="18"/>
      <c r="L233" s="19">
        <f>SUM(F233:K233)</f>
        <v>580892.53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72.25</v>
      </c>
      <c r="G234" s="18">
        <v>17.940000000000001</v>
      </c>
      <c r="H234" s="18">
        <v>9271.7000000000007</v>
      </c>
      <c r="I234" s="18"/>
      <c r="J234" s="18"/>
      <c r="K234" s="18"/>
      <c r="L234" s="19">
        <f>SUM(F234:K234)</f>
        <v>9361.8900000000012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1356.39</v>
      </c>
      <c r="I238" s="18"/>
      <c r="J238" s="18"/>
      <c r="K238" s="18">
        <v>3.75</v>
      </c>
      <c r="L238" s="19">
        <f t="shared" ref="L238:L244" si="4">SUM(F238:K238)</f>
        <v>1360.14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1595.19</v>
      </c>
      <c r="G240" s="18">
        <v>126.36</v>
      </c>
      <c r="H240" s="18">
        <f>36085.64+949.75</f>
        <v>37035.39</v>
      </c>
      <c r="I240" s="18">
        <v>142.96</v>
      </c>
      <c r="J240" s="18"/>
      <c r="K240" s="18">
        <v>891.04</v>
      </c>
      <c r="L240" s="19">
        <f t="shared" si="4"/>
        <v>39790.94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11814.28</v>
      </c>
      <c r="G244" s="18">
        <v>1765.62</v>
      </c>
      <c r="H244" s="18">
        <f>9908.97+921.78</f>
        <v>10830.75</v>
      </c>
      <c r="I244" s="18">
        <v>3838.41</v>
      </c>
      <c r="J244" s="18"/>
      <c r="K244" s="18">
        <v>91.05</v>
      </c>
      <c r="L244" s="19">
        <f t="shared" si="4"/>
        <v>28340.11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13481.720000000001</v>
      </c>
      <c r="G247" s="41">
        <f t="shared" si="5"/>
        <v>1909.9199999999998</v>
      </c>
      <c r="H247" s="41">
        <f t="shared" si="5"/>
        <v>639386.76</v>
      </c>
      <c r="I247" s="41">
        <f t="shared" si="5"/>
        <v>3981.37</v>
      </c>
      <c r="J247" s="41">
        <f t="shared" si="5"/>
        <v>0</v>
      </c>
      <c r="K247" s="41">
        <f t="shared" si="5"/>
        <v>985.83999999999992</v>
      </c>
      <c r="L247" s="41">
        <f t="shared" si="5"/>
        <v>659745.61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594872.12999999989</v>
      </c>
      <c r="G257" s="41">
        <f t="shared" si="8"/>
        <v>248309.55000000002</v>
      </c>
      <c r="H257" s="41">
        <f t="shared" si="8"/>
        <v>1006907.97</v>
      </c>
      <c r="I257" s="41">
        <f t="shared" si="8"/>
        <v>62552.73</v>
      </c>
      <c r="J257" s="41">
        <f t="shared" si="8"/>
        <v>7426.5999999999995</v>
      </c>
      <c r="K257" s="41">
        <f t="shared" si="8"/>
        <v>11120.820000000002</v>
      </c>
      <c r="L257" s="41">
        <f t="shared" si="8"/>
        <v>1931189.7999999998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45000</v>
      </c>
      <c r="L260" s="19">
        <f>SUM(F260:K260)</f>
        <v>45000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1175</v>
      </c>
      <c r="L261" s="19">
        <f>SUM(F261:K261)</f>
        <v>1175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17600</v>
      </c>
      <c r="L263" s="19">
        <f>SUM(F263:K263)</f>
        <v>17600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923.94</v>
      </c>
      <c r="L268" s="19">
        <f t="shared" si="9"/>
        <v>923.94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64698.94</v>
      </c>
      <c r="L270" s="41">
        <f t="shared" si="9"/>
        <v>64698.94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594872.12999999989</v>
      </c>
      <c r="G271" s="42">
        <f t="shared" si="11"/>
        <v>248309.55000000002</v>
      </c>
      <c r="H271" s="42">
        <f t="shared" si="11"/>
        <v>1006907.97</v>
      </c>
      <c r="I271" s="42">
        <f t="shared" si="11"/>
        <v>62552.73</v>
      </c>
      <c r="J271" s="42">
        <f t="shared" si="11"/>
        <v>7426.5999999999995</v>
      </c>
      <c r="K271" s="42">
        <f t="shared" si="11"/>
        <v>75819.760000000009</v>
      </c>
      <c r="L271" s="42">
        <f t="shared" si="11"/>
        <v>1995888.7399999998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55852.5</v>
      </c>
      <c r="G276" s="18">
        <v>20070.830000000002</v>
      </c>
      <c r="H276" s="18"/>
      <c r="I276" s="18">
        <v>2718.52</v>
      </c>
      <c r="J276" s="18">
        <v>10507.66</v>
      </c>
      <c r="K276" s="18"/>
      <c r="L276" s="19">
        <f>SUM(F276:K276)</f>
        <v>89149.510000000009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7500</v>
      </c>
      <c r="G279" s="18">
        <v>1615.39</v>
      </c>
      <c r="H279" s="18"/>
      <c r="I279" s="18"/>
      <c r="J279" s="18"/>
      <c r="K279" s="18"/>
      <c r="L279" s="19">
        <f>SUM(F279:K279)</f>
        <v>9115.39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875.5</v>
      </c>
      <c r="G281" s="18">
        <v>73.88</v>
      </c>
      <c r="H281" s="18">
        <f>2622.45+5649.75</f>
        <v>8272.2000000000007</v>
      </c>
      <c r="I281" s="18">
        <v>2046.23</v>
      </c>
      <c r="J281" s="18"/>
      <c r="K281" s="18"/>
      <c r="L281" s="19">
        <f t="shared" ref="L281:L287" si="12">SUM(F281:K281)</f>
        <v>11267.81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9509.73</v>
      </c>
      <c r="G282" s="18">
        <v>4215.05</v>
      </c>
      <c r="H282" s="18">
        <f>30044+1034.2</f>
        <v>31078.2</v>
      </c>
      <c r="I282" s="18">
        <v>300</v>
      </c>
      <c r="J282" s="18"/>
      <c r="K282" s="18">
        <v>3000</v>
      </c>
      <c r="L282" s="19">
        <f t="shared" si="12"/>
        <v>48102.979999999996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8802</v>
      </c>
      <c r="G283" s="18">
        <v>1836.73</v>
      </c>
      <c r="H283" s="18">
        <v>99</v>
      </c>
      <c r="I283" s="18"/>
      <c r="J283" s="18"/>
      <c r="K283" s="18"/>
      <c r="L283" s="19">
        <f t="shared" si="12"/>
        <v>10737.73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1200</v>
      </c>
      <c r="G284" s="18">
        <v>300.12</v>
      </c>
      <c r="H284" s="18"/>
      <c r="I284" s="18"/>
      <c r="J284" s="18"/>
      <c r="K284" s="18"/>
      <c r="L284" s="19">
        <f t="shared" si="12"/>
        <v>1500.12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200</v>
      </c>
      <c r="L285" s="19">
        <f t="shared" si="12"/>
        <v>200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1700.97</v>
      </c>
      <c r="G287" s="18">
        <v>130.11000000000001</v>
      </c>
      <c r="H287" s="18"/>
      <c r="I287" s="18">
        <v>134.68</v>
      </c>
      <c r="J287" s="18"/>
      <c r="K287" s="18"/>
      <c r="L287" s="19">
        <f t="shared" si="12"/>
        <v>1965.76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85440.7</v>
      </c>
      <c r="G290" s="42">
        <f t="shared" si="13"/>
        <v>28242.11</v>
      </c>
      <c r="H290" s="42">
        <f t="shared" si="13"/>
        <v>39449.4</v>
      </c>
      <c r="I290" s="42">
        <f t="shared" si="13"/>
        <v>5199.43</v>
      </c>
      <c r="J290" s="42">
        <f t="shared" si="13"/>
        <v>10507.66</v>
      </c>
      <c r="K290" s="42">
        <f t="shared" si="13"/>
        <v>3200</v>
      </c>
      <c r="L290" s="41">
        <f t="shared" si="13"/>
        <v>172039.30000000002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85440.7</v>
      </c>
      <c r="G338" s="41">
        <f t="shared" si="20"/>
        <v>28242.11</v>
      </c>
      <c r="H338" s="41">
        <f t="shared" si="20"/>
        <v>39449.4</v>
      </c>
      <c r="I338" s="41">
        <f t="shared" si="20"/>
        <v>5199.43</v>
      </c>
      <c r="J338" s="41">
        <f t="shared" si="20"/>
        <v>10507.66</v>
      </c>
      <c r="K338" s="41">
        <f t="shared" si="20"/>
        <v>3200</v>
      </c>
      <c r="L338" s="41">
        <f t="shared" si="20"/>
        <v>172039.30000000002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85440.7</v>
      </c>
      <c r="G352" s="41">
        <f>G338</f>
        <v>28242.11</v>
      </c>
      <c r="H352" s="41">
        <f>H338</f>
        <v>39449.4</v>
      </c>
      <c r="I352" s="41">
        <f>I338</f>
        <v>5199.43</v>
      </c>
      <c r="J352" s="41">
        <f>J338</f>
        <v>10507.66</v>
      </c>
      <c r="K352" s="47">
        <f>K338+K351</f>
        <v>3200</v>
      </c>
      <c r="L352" s="41">
        <f>L338+L351</f>
        <v>172039.30000000002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>
        <v>24.94</v>
      </c>
      <c r="H358" s="18">
        <f>873.5+55014.33</f>
        <v>55887.83</v>
      </c>
      <c r="I358" s="18">
        <v>228.87</v>
      </c>
      <c r="J358" s="18"/>
      <c r="K358" s="18"/>
      <c r="L358" s="13">
        <f>SUM(F358:K358)</f>
        <v>56141.640000000007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24.94</v>
      </c>
      <c r="H362" s="47">
        <f t="shared" si="22"/>
        <v>55887.83</v>
      </c>
      <c r="I362" s="47">
        <f t="shared" si="22"/>
        <v>228.87</v>
      </c>
      <c r="J362" s="47">
        <f t="shared" si="22"/>
        <v>0</v>
      </c>
      <c r="K362" s="47">
        <f t="shared" si="22"/>
        <v>0</v>
      </c>
      <c r="L362" s="47">
        <f t="shared" si="22"/>
        <v>56141.640000000007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228.87</v>
      </c>
      <c r="G368" s="63"/>
      <c r="H368" s="63"/>
      <c r="I368" s="56">
        <f>SUM(F368:H368)</f>
        <v>228.87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228.87</v>
      </c>
      <c r="G369" s="47">
        <f>SUM(G367:G368)</f>
        <v>0</v>
      </c>
      <c r="H369" s="47">
        <f>SUM(H367:H368)</f>
        <v>0</v>
      </c>
      <c r="I369" s="47">
        <f>SUM(I367:I368)</f>
        <v>228.87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>
        <v>23.08</v>
      </c>
      <c r="I390" s="18"/>
      <c r="J390" s="24" t="s">
        <v>286</v>
      </c>
      <c r="K390" s="24" t="s">
        <v>286</v>
      </c>
      <c r="L390" s="56">
        <f t="shared" si="25"/>
        <v>23.08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23.08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23.08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19.04</v>
      </c>
      <c r="I396" s="18"/>
      <c r="J396" s="24" t="s">
        <v>286</v>
      </c>
      <c r="K396" s="24" t="s">
        <v>286</v>
      </c>
      <c r="L396" s="56">
        <f t="shared" si="26"/>
        <v>19.04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207.98</v>
      </c>
      <c r="I398" s="18"/>
      <c r="J398" s="24" t="s">
        <v>286</v>
      </c>
      <c r="K398" s="24" t="s">
        <v>286</v>
      </c>
      <c r="L398" s="56">
        <f t="shared" si="26"/>
        <v>207.98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2.37</v>
      </c>
      <c r="I400" s="18"/>
      <c r="J400" s="24" t="s">
        <v>286</v>
      </c>
      <c r="K400" s="24" t="s">
        <v>286</v>
      </c>
      <c r="L400" s="56">
        <f t="shared" si="26"/>
        <v>2.37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229.39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229.39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252.46999999999997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252.46999999999997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50</v>
      </c>
      <c r="L426" s="56">
        <f t="shared" si="29"/>
        <v>50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50</v>
      </c>
      <c r="L427" s="47">
        <f t="shared" si="30"/>
        <v>50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50</v>
      </c>
      <c r="L434" s="47">
        <f t="shared" si="32"/>
        <v>50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22242.99</v>
      </c>
      <c r="G439" s="18">
        <v>184467.92</v>
      </c>
      <c r="H439" s="18"/>
      <c r="I439" s="56">
        <f t="shared" ref="I439:I445" si="33">SUM(F439:H439)</f>
        <v>206710.91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22242.99</v>
      </c>
      <c r="G446" s="13">
        <f>SUM(G439:G445)</f>
        <v>184467.92</v>
      </c>
      <c r="H446" s="13">
        <f>SUM(H439:H445)</f>
        <v>0</v>
      </c>
      <c r="I446" s="13">
        <f>SUM(I439:I445)</f>
        <v>206710.91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22242.99</v>
      </c>
      <c r="G459" s="18">
        <v>184467.92</v>
      </c>
      <c r="H459" s="18"/>
      <c r="I459" s="56">
        <f t="shared" si="34"/>
        <v>206710.91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22242.99</v>
      </c>
      <c r="G460" s="83">
        <f>SUM(G454:G459)</f>
        <v>184467.92</v>
      </c>
      <c r="H460" s="83">
        <f>SUM(H454:H459)</f>
        <v>0</v>
      </c>
      <c r="I460" s="83">
        <f>SUM(I454:I459)</f>
        <v>206710.91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22242.99</v>
      </c>
      <c r="G461" s="42">
        <f>G452+G460</f>
        <v>184467.92</v>
      </c>
      <c r="H461" s="42">
        <f>H452+H460</f>
        <v>0</v>
      </c>
      <c r="I461" s="42">
        <f>I452+I460</f>
        <v>206710.91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302446.07</v>
      </c>
      <c r="G465" s="18">
        <v>7649.89</v>
      </c>
      <c r="H465" s="18"/>
      <c r="I465" s="18"/>
      <c r="J465" s="18">
        <v>206366.38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2071414.92</v>
      </c>
      <c r="G468" s="18">
        <v>57996.39</v>
      </c>
      <c r="H468" s="18">
        <v>172039.3</v>
      </c>
      <c r="I468" s="18"/>
      <c r="J468" s="18">
        <v>252.47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>
        <v>67.78</v>
      </c>
      <c r="H469" s="18"/>
      <c r="I469" s="18"/>
      <c r="J469" s="18">
        <v>142.06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2071414.92</v>
      </c>
      <c r="G470" s="53">
        <f>SUM(G468:G469)</f>
        <v>58064.17</v>
      </c>
      <c r="H470" s="53">
        <f>SUM(H468:H469)</f>
        <v>172039.3</v>
      </c>
      <c r="I470" s="53">
        <f>SUM(I468:I469)</f>
        <v>0</v>
      </c>
      <c r="J470" s="53">
        <f>SUM(J468:J469)</f>
        <v>394.53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1995888.74</v>
      </c>
      <c r="G472" s="18">
        <v>56141.64</v>
      </c>
      <c r="H472" s="18">
        <v>172039.3</v>
      </c>
      <c r="I472" s="18"/>
      <c r="J472" s="18">
        <v>50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0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1995888.74</v>
      </c>
      <c r="G474" s="53">
        <f>SUM(G472:G473)</f>
        <v>56141.64</v>
      </c>
      <c r="H474" s="53">
        <f>SUM(H472:H473)</f>
        <v>172039.3</v>
      </c>
      <c r="I474" s="53">
        <f>SUM(I472:I473)</f>
        <v>0</v>
      </c>
      <c r="J474" s="53">
        <f>SUM(J472:J473)</f>
        <v>50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377972.24999999977</v>
      </c>
      <c r="G476" s="53">
        <f>(G465+G470)- G474</f>
        <v>9572.4199999999983</v>
      </c>
      <c r="H476" s="53">
        <f>(H465+H470)- H474</f>
        <v>0</v>
      </c>
      <c r="I476" s="53">
        <f>(I465+I470)- I474</f>
        <v>0</v>
      </c>
      <c r="J476" s="53">
        <f>(J465+J470)- J474</f>
        <v>206710.91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118141.51</v>
      </c>
      <c r="G521" s="18">
        <v>25304.17</v>
      </c>
      <c r="H521" s="18"/>
      <c r="I521" s="18">
        <v>62.35</v>
      </c>
      <c r="J521" s="18">
        <v>486</v>
      </c>
      <c r="K521" s="18"/>
      <c r="L521" s="88">
        <f>SUM(F521:K521)</f>
        <v>143994.03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72.25</v>
      </c>
      <c r="G523" s="18">
        <v>17.940000000000001</v>
      </c>
      <c r="H523" s="18">
        <v>9271.7000000000007</v>
      </c>
      <c r="I523" s="18"/>
      <c r="J523" s="18"/>
      <c r="K523" s="18"/>
      <c r="L523" s="88">
        <f>SUM(F523:K523)</f>
        <v>9361.8900000000012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118213.75999999999</v>
      </c>
      <c r="G524" s="108">
        <f t="shared" ref="G524:L524" si="36">SUM(G521:G523)</f>
        <v>25322.109999999997</v>
      </c>
      <c r="H524" s="108">
        <f t="shared" si="36"/>
        <v>9271.7000000000007</v>
      </c>
      <c r="I524" s="108">
        <f t="shared" si="36"/>
        <v>62.35</v>
      </c>
      <c r="J524" s="108">
        <f t="shared" si="36"/>
        <v>486</v>
      </c>
      <c r="K524" s="108">
        <f t="shared" si="36"/>
        <v>0</v>
      </c>
      <c r="L524" s="89">
        <f t="shared" si="36"/>
        <v>153355.92000000001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5344.23</v>
      </c>
      <c r="G526" s="18">
        <v>447.75</v>
      </c>
      <c r="H526" s="18">
        <f>50028.46+4847.78</f>
        <v>54876.24</v>
      </c>
      <c r="I526" s="18">
        <v>442.83</v>
      </c>
      <c r="J526" s="18">
        <v>471.7</v>
      </c>
      <c r="K526" s="18"/>
      <c r="L526" s="88">
        <f>SUM(F526:K526)</f>
        <v>61582.75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1356.39+4847.78</f>
        <v>6204.17</v>
      </c>
      <c r="I528" s="18"/>
      <c r="J528" s="18"/>
      <c r="K528" s="18"/>
      <c r="L528" s="88">
        <f>SUM(F528:K528)</f>
        <v>6204.17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5344.23</v>
      </c>
      <c r="G529" s="89">
        <f t="shared" ref="G529:L529" si="37">SUM(G526:G528)</f>
        <v>447.75</v>
      </c>
      <c r="H529" s="89">
        <f t="shared" si="37"/>
        <v>61080.409999999996</v>
      </c>
      <c r="I529" s="89">
        <f t="shared" si="37"/>
        <v>442.83</v>
      </c>
      <c r="J529" s="89">
        <f t="shared" si="37"/>
        <v>471.7</v>
      </c>
      <c r="K529" s="89">
        <f t="shared" si="37"/>
        <v>0</v>
      </c>
      <c r="L529" s="89">
        <f t="shared" si="37"/>
        <v>67786.92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8098.5</v>
      </c>
      <c r="I531" s="18"/>
      <c r="J531" s="18"/>
      <c r="K531" s="18"/>
      <c r="L531" s="88">
        <f>SUM(F531:K531)</f>
        <v>8098.5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4763.83</v>
      </c>
      <c r="I533" s="18"/>
      <c r="J533" s="18"/>
      <c r="K533" s="18"/>
      <c r="L533" s="88">
        <f>SUM(F533:K533)</f>
        <v>4763.83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12862.33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12862.33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123557.98999999999</v>
      </c>
      <c r="G545" s="89">
        <f t="shared" ref="G545:L545" si="41">G524+G529+G534+G539+G544</f>
        <v>25769.859999999997</v>
      </c>
      <c r="H545" s="89">
        <f t="shared" si="41"/>
        <v>83214.44</v>
      </c>
      <c r="I545" s="89">
        <f t="shared" si="41"/>
        <v>505.18</v>
      </c>
      <c r="J545" s="89">
        <f t="shared" si="41"/>
        <v>957.7</v>
      </c>
      <c r="K545" s="89">
        <f t="shared" si="41"/>
        <v>0</v>
      </c>
      <c r="L545" s="89">
        <f t="shared" si="41"/>
        <v>234005.17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143994.03</v>
      </c>
      <c r="G549" s="87">
        <f>L526</f>
        <v>61582.75</v>
      </c>
      <c r="H549" s="87">
        <f>L531</f>
        <v>8098.5</v>
      </c>
      <c r="I549" s="87">
        <f>L536</f>
        <v>0</v>
      </c>
      <c r="J549" s="87">
        <f>L541</f>
        <v>0</v>
      </c>
      <c r="K549" s="87">
        <f>SUM(F549:J549)</f>
        <v>213675.28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9361.8900000000012</v>
      </c>
      <c r="G551" s="87">
        <f>L528</f>
        <v>6204.17</v>
      </c>
      <c r="H551" s="87">
        <f>L533</f>
        <v>4763.83</v>
      </c>
      <c r="I551" s="87">
        <f>L538</f>
        <v>0</v>
      </c>
      <c r="J551" s="87">
        <f>L543</f>
        <v>0</v>
      </c>
      <c r="K551" s="87">
        <f>SUM(F551:J551)</f>
        <v>20329.89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153355.92000000001</v>
      </c>
      <c r="G552" s="89">
        <f t="shared" si="42"/>
        <v>67786.92</v>
      </c>
      <c r="H552" s="89">
        <f t="shared" si="42"/>
        <v>12862.33</v>
      </c>
      <c r="I552" s="89">
        <f t="shared" si="42"/>
        <v>0</v>
      </c>
      <c r="J552" s="89">
        <f t="shared" si="42"/>
        <v>0</v>
      </c>
      <c r="K552" s="89">
        <f t="shared" si="42"/>
        <v>234005.16999999998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185003.64</v>
      </c>
      <c r="I575" s="87">
        <f>SUM(F575:H575)</f>
        <v>185003.64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395888.89</v>
      </c>
      <c r="I576" s="87">
        <f t="shared" ref="I576:I587" si="47">SUM(F576:H576)</f>
        <v>395888.89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9271.7000000000007</v>
      </c>
      <c r="I580" s="87">
        <f t="shared" si="47"/>
        <v>9271.7000000000007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81217.69</v>
      </c>
      <c r="I591" s="18"/>
      <c r="J591" s="18">
        <v>28340.11</v>
      </c>
      <c r="K591" s="104">
        <f t="shared" ref="K591:K597" si="48">SUM(H591:J591)</f>
        <v>109557.8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895.8</v>
      </c>
      <c r="I595" s="18"/>
      <c r="J595" s="18"/>
      <c r="K595" s="104">
        <f t="shared" si="48"/>
        <v>895.8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82113.490000000005</v>
      </c>
      <c r="I598" s="108">
        <f>SUM(I591:I597)</f>
        <v>0</v>
      </c>
      <c r="J598" s="108">
        <f>SUM(J591:J597)</f>
        <v>28340.11</v>
      </c>
      <c r="K598" s="108">
        <f>SUM(K591:K597)</f>
        <v>110453.6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17934.259999999998</v>
      </c>
      <c r="I604" s="18"/>
      <c r="J604" s="18"/>
      <c r="K604" s="104">
        <f>SUM(H604:J604)</f>
        <v>17934.259999999998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17934.259999999998</v>
      </c>
      <c r="I605" s="108">
        <f>SUM(I602:I604)</f>
        <v>0</v>
      </c>
      <c r="J605" s="108">
        <f>SUM(J602:J604)</f>
        <v>0</v>
      </c>
      <c r="K605" s="108">
        <f>SUM(K602:K604)</f>
        <v>17934.259999999998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7500</v>
      </c>
      <c r="G611" s="18">
        <v>1615.39</v>
      </c>
      <c r="H611" s="18"/>
      <c r="I611" s="18"/>
      <c r="J611" s="18"/>
      <c r="K611" s="18"/>
      <c r="L611" s="88">
        <f>SUM(F611:K611)</f>
        <v>9115.39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7500</v>
      </c>
      <c r="G614" s="108">
        <f t="shared" si="49"/>
        <v>1615.39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9115.39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406731.43</v>
      </c>
      <c r="H617" s="109">
        <f>SUM(F52)</f>
        <v>406731.42999999976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13083.109999999999</v>
      </c>
      <c r="H618" s="109">
        <f>SUM(G52)</f>
        <v>13083.110000000004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85375.45</v>
      </c>
      <c r="H619" s="109">
        <f>SUM(H52)</f>
        <v>85375.450000000012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206710.91</v>
      </c>
      <c r="H621" s="109">
        <f>SUM(J52)</f>
        <v>206710.91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377972.24999999977</v>
      </c>
      <c r="H622" s="109">
        <f>F476</f>
        <v>377972.24999999977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9572.4200000000037</v>
      </c>
      <c r="H623" s="109">
        <f>G476</f>
        <v>9572.4199999999983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206710.91</v>
      </c>
      <c r="H626" s="109">
        <f>J476</f>
        <v>206710.91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2071414.92</v>
      </c>
      <c r="H627" s="104">
        <f>SUM(F468)</f>
        <v>2071414.92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57996.39</v>
      </c>
      <c r="H628" s="104">
        <f>SUM(G468)</f>
        <v>57996.39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172039.3</v>
      </c>
      <c r="H629" s="104">
        <f>SUM(H468)</f>
        <v>172039.3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252.47</v>
      </c>
      <c r="H631" s="104">
        <f>SUM(J468)</f>
        <v>252.47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1995888.7399999998</v>
      </c>
      <c r="H632" s="104">
        <f>SUM(F472)</f>
        <v>1995888.74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172039.30000000002</v>
      </c>
      <c r="H633" s="104">
        <f>SUM(H472)</f>
        <v>172039.3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228.87</v>
      </c>
      <c r="H634" s="104">
        <f>I369</f>
        <v>228.87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56141.640000000007</v>
      </c>
      <c r="H635" s="104">
        <f>SUM(G472)</f>
        <v>56141.64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252.46999999999997</v>
      </c>
      <c r="H637" s="164">
        <f>SUM(J468)</f>
        <v>252.47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50</v>
      </c>
      <c r="H638" s="164">
        <f>SUM(J472)</f>
        <v>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22242.99</v>
      </c>
      <c r="H639" s="104">
        <f>SUM(F461)</f>
        <v>22242.99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184467.92</v>
      </c>
      <c r="H640" s="104">
        <f>SUM(G461)</f>
        <v>184467.92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206710.91</v>
      </c>
      <c r="H642" s="104">
        <f>SUM(I461)</f>
        <v>206710.91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252.47</v>
      </c>
      <c r="H644" s="104">
        <f>H408</f>
        <v>252.46999999999997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252.47</v>
      </c>
      <c r="H646" s="104">
        <f>L408</f>
        <v>252.46999999999997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110453.6</v>
      </c>
      <c r="H647" s="104">
        <f>L208+L226+L244</f>
        <v>110453.6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17934.259999999998</v>
      </c>
      <c r="H648" s="104">
        <f>(J257+J338)-(J255+J336)</f>
        <v>17934.259999999998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82113.490000000005</v>
      </c>
      <c r="H649" s="104">
        <f>H598</f>
        <v>82113.490000000005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28340.11</v>
      </c>
      <c r="H651" s="104">
        <f>J598</f>
        <v>28340.11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17600</v>
      </c>
      <c r="H652" s="104">
        <f>K263+K345</f>
        <v>17600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1499625.1299999997</v>
      </c>
      <c r="G660" s="19">
        <f>(L229+L309+L359)</f>
        <v>0</v>
      </c>
      <c r="H660" s="19">
        <f>(L247+L328+L360)</f>
        <v>659745.61</v>
      </c>
      <c r="I660" s="19">
        <f>SUM(F660:H660)</f>
        <v>2159370.7399999998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12669.72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12669.72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84079.25</v>
      </c>
      <c r="G662" s="19">
        <f>(L226+L306)-(J226+J306)</f>
        <v>0</v>
      </c>
      <c r="H662" s="19">
        <f>(L244+L325)-(J244+J325)</f>
        <v>28340.11</v>
      </c>
      <c r="I662" s="19">
        <f>SUM(F662:H662)</f>
        <v>112419.36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27049.649999999998</v>
      </c>
      <c r="G663" s="199">
        <f>SUM(G575:G587)+SUM(I602:I604)+L612</f>
        <v>0</v>
      </c>
      <c r="H663" s="199">
        <f>SUM(H575:H587)+SUM(J602:J604)+L613</f>
        <v>590164.23</v>
      </c>
      <c r="I663" s="19">
        <f>SUM(F663:H663)</f>
        <v>617213.88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1375826.5099999998</v>
      </c>
      <c r="G664" s="19">
        <f>G660-SUM(G661:G663)</f>
        <v>0</v>
      </c>
      <c r="H664" s="19">
        <f>H660-SUM(H661:H663)</f>
        <v>41241.270000000019</v>
      </c>
      <c r="I664" s="19">
        <f>I660-SUM(I661:I663)</f>
        <v>1417067.7799999998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74.22</v>
      </c>
      <c r="G665" s="248"/>
      <c r="H665" s="248"/>
      <c r="I665" s="19">
        <f>SUM(F665:H665)</f>
        <v>74.22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18537.14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19092.8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-41241.269999999997</v>
      </c>
      <c r="I669" s="19">
        <f>SUM(F669:H669)</f>
        <v>-41241.269999999997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18537.14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18537.14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zoomScale="110" zoomScaleNormal="110" workbookViewId="0">
      <selection activeCell="H38" sqref="H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Stewartstown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326113.84999999998</v>
      </c>
      <c r="C9" s="229">
        <f>'DOE25'!G197+'DOE25'!G215+'DOE25'!G233+'DOE25'!G276+'DOE25'!G295+'DOE25'!G314</f>
        <v>180726.41999999998</v>
      </c>
    </row>
    <row r="10" spans="1:3" x14ac:dyDescent="0.2">
      <c r="A10" t="s">
        <v>773</v>
      </c>
      <c r="B10" s="240">
        <v>241322.5</v>
      </c>
      <c r="C10" s="240">
        <v>173985.52</v>
      </c>
    </row>
    <row r="11" spans="1:3" x14ac:dyDescent="0.2">
      <c r="A11" t="s">
        <v>774</v>
      </c>
      <c r="B11" s="240">
        <v>55852.5</v>
      </c>
      <c r="C11" s="240">
        <v>4440.2700000000004</v>
      </c>
    </row>
    <row r="12" spans="1:3" x14ac:dyDescent="0.2">
      <c r="A12" t="s">
        <v>775</v>
      </c>
      <c r="B12" s="240">
        <f>21463.85+7475</f>
        <v>28938.85</v>
      </c>
      <c r="C12" s="240">
        <v>2300.63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326113.84999999998</v>
      </c>
      <c r="C13" s="231">
        <f>SUM(C10:C12)</f>
        <v>180726.41999999998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119676.23</v>
      </c>
      <c r="C18" s="229">
        <f>'DOE25'!G198+'DOE25'!G216+'DOE25'!G234+'DOE25'!G277+'DOE25'!G296+'DOE25'!G315</f>
        <v>25454.01</v>
      </c>
    </row>
    <row r="19" spans="1:3" x14ac:dyDescent="0.2">
      <c r="A19" t="s">
        <v>773</v>
      </c>
      <c r="B19" s="240">
        <v>52412.47</v>
      </c>
      <c r="C19" s="240">
        <v>20106.55</v>
      </c>
    </row>
    <row r="20" spans="1:3" x14ac:dyDescent="0.2">
      <c r="A20" t="s">
        <v>774</v>
      </c>
      <c r="B20" s="240">
        <v>65091.66</v>
      </c>
      <c r="C20" s="240">
        <v>5174.78</v>
      </c>
    </row>
    <row r="21" spans="1:3" x14ac:dyDescent="0.2">
      <c r="A21" t="s">
        <v>775</v>
      </c>
      <c r="B21" s="240">
        <f>1062.1+1037.75+72.25</f>
        <v>2172.1</v>
      </c>
      <c r="C21" s="240">
        <v>172.68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119676.23000000001</v>
      </c>
      <c r="C22" s="231">
        <f>SUM(C19:C21)</f>
        <v>25454.01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7500</v>
      </c>
      <c r="C36" s="235">
        <f>'DOE25'!G200+'DOE25'!G218+'DOE25'!G236+'DOE25'!G279+'DOE25'!G298+'DOE25'!G317</f>
        <v>1615.39</v>
      </c>
    </row>
    <row r="37" spans="1:3" x14ac:dyDescent="0.2">
      <c r="A37" t="s">
        <v>773</v>
      </c>
      <c r="B37" s="240">
        <v>7500</v>
      </c>
      <c r="C37" s="240">
        <v>1615.39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7500</v>
      </c>
      <c r="C40" s="231">
        <f>SUM(C37:C39)</f>
        <v>1615.39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3" sqref="F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Stewartstown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1207578.46</v>
      </c>
      <c r="D5" s="20">
        <f>SUM('DOE25'!L197:L200)+SUM('DOE25'!L215:L218)+SUM('DOE25'!L233:L236)-F5-G5</f>
        <v>1204681.5899999999</v>
      </c>
      <c r="E5" s="243"/>
      <c r="F5" s="255">
        <f>SUM('DOE25'!J197:J200)+SUM('DOE25'!J215:J218)+SUM('DOE25'!J233:J236)</f>
        <v>2896.87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196565.97000000003</v>
      </c>
      <c r="D6" s="20">
        <f>'DOE25'!L202+'DOE25'!L220+'DOE25'!L238-F6-G6</f>
        <v>191408.91000000003</v>
      </c>
      <c r="E6" s="243"/>
      <c r="F6" s="255">
        <f>'DOE25'!J202+'DOE25'!J220+'DOE25'!J238</f>
        <v>3038.79</v>
      </c>
      <c r="G6" s="53">
        <f>'DOE25'!K202+'DOE25'!K220+'DOE25'!K238</f>
        <v>2118.27</v>
      </c>
      <c r="H6" s="259"/>
    </row>
    <row r="7" spans="1:9" x14ac:dyDescent="0.2">
      <c r="A7" s="32">
        <v>2200</v>
      </c>
      <c r="B7" t="s">
        <v>828</v>
      </c>
      <c r="C7" s="245">
        <f t="shared" si="0"/>
        <v>35133.090000000004</v>
      </c>
      <c r="D7" s="20">
        <f>'DOE25'!L203+'DOE25'!L221+'DOE25'!L239-F7-G7</f>
        <v>32432.83</v>
      </c>
      <c r="E7" s="243"/>
      <c r="F7" s="255">
        <f>'DOE25'!J203+'DOE25'!J221+'DOE25'!J239</f>
        <v>0</v>
      </c>
      <c r="G7" s="53">
        <f>'DOE25'!K203+'DOE25'!K221+'DOE25'!K239</f>
        <v>2700.26</v>
      </c>
      <c r="H7" s="259"/>
    </row>
    <row r="8" spans="1:9" x14ac:dyDescent="0.2">
      <c r="A8" s="32">
        <v>2300</v>
      </c>
      <c r="B8" t="s">
        <v>796</v>
      </c>
      <c r="C8" s="245">
        <f t="shared" si="0"/>
        <v>79264.3</v>
      </c>
      <c r="D8" s="243"/>
      <c r="E8" s="20">
        <f>'DOE25'!L204+'DOE25'!L222+'DOE25'!L240-F8-G8-D9-D11</f>
        <v>76074.42</v>
      </c>
      <c r="F8" s="255">
        <f>'DOE25'!J204+'DOE25'!J222+'DOE25'!J240</f>
        <v>0</v>
      </c>
      <c r="G8" s="53">
        <f>'DOE25'!K204+'DOE25'!K222+'DOE25'!K240</f>
        <v>3189.88</v>
      </c>
      <c r="H8" s="259"/>
    </row>
    <row r="9" spans="1:9" x14ac:dyDescent="0.2">
      <c r="A9" s="32">
        <v>2310</v>
      </c>
      <c r="B9" t="s">
        <v>812</v>
      </c>
      <c r="C9" s="245">
        <f t="shared" si="0"/>
        <v>26573.72</v>
      </c>
      <c r="D9" s="244">
        <v>26573.72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33347.42</v>
      </c>
      <c r="D11" s="244">
        <v>33347.42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143749.71999999997</v>
      </c>
      <c r="D12" s="20">
        <f>'DOE25'!L205+'DOE25'!L223+'DOE25'!L241-F12-G12</f>
        <v>141520.59999999998</v>
      </c>
      <c r="E12" s="243"/>
      <c r="F12" s="255">
        <f>'DOE25'!J205+'DOE25'!J223+'DOE25'!J241</f>
        <v>304.12</v>
      </c>
      <c r="G12" s="53">
        <f>'DOE25'!K205+'DOE25'!K223+'DOE25'!K241</f>
        <v>1925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98523.51999999999</v>
      </c>
      <c r="D14" s="20">
        <f>'DOE25'!L207+'DOE25'!L225+'DOE25'!L243-F14-G14</f>
        <v>96956.999999999985</v>
      </c>
      <c r="E14" s="243"/>
      <c r="F14" s="255">
        <f>'DOE25'!J207+'DOE25'!J225+'DOE25'!J243</f>
        <v>1186.82</v>
      </c>
      <c r="G14" s="53">
        <f>'DOE25'!K207+'DOE25'!K225+'DOE25'!K243</f>
        <v>379.7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110453.6</v>
      </c>
      <c r="D15" s="20">
        <f>'DOE25'!L208+'DOE25'!L226+'DOE25'!L244-F15-G15</f>
        <v>109645.89</v>
      </c>
      <c r="E15" s="243"/>
      <c r="F15" s="255">
        <f>'DOE25'!J208+'DOE25'!J226+'DOE25'!J244</f>
        <v>0</v>
      </c>
      <c r="G15" s="53">
        <f>'DOE25'!K208+'DOE25'!K226+'DOE25'!K244</f>
        <v>807.70999999999992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46175</v>
      </c>
      <c r="D25" s="243"/>
      <c r="E25" s="243"/>
      <c r="F25" s="258"/>
      <c r="G25" s="256"/>
      <c r="H25" s="257">
        <f>'DOE25'!L260+'DOE25'!L261+'DOE25'!L341+'DOE25'!L342</f>
        <v>46175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56141.640000000007</v>
      </c>
      <c r="D29" s="20">
        <f>'DOE25'!L358+'DOE25'!L359+'DOE25'!L360-'DOE25'!I367-F29-G29</f>
        <v>56141.640000000007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172039.30000000002</v>
      </c>
      <c r="D31" s="20">
        <f>'DOE25'!L290+'DOE25'!L309+'DOE25'!L328+'DOE25'!L333+'DOE25'!L334+'DOE25'!L335-F31-G31</f>
        <v>158331.64000000001</v>
      </c>
      <c r="E31" s="243"/>
      <c r="F31" s="255">
        <f>'DOE25'!J290+'DOE25'!J309+'DOE25'!J328+'DOE25'!J333+'DOE25'!J334+'DOE25'!J335</f>
        <v>10507.66</v>
      </c>
      <c r="G31" s="53">
        <f>'DOE25'!K290+'DOE25'!K309+'DOE25'!K328+'DOE25'!K333+'DOE25'!K334+'DOE25'!K335</f>
        <v>3200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2051041.2399999998</v>
      </c>
      <c r="E33" s="246">
        <f>SUM(E5:E31)</f>
        <v>83674.42</v>
      </c>
      <c r="F33" s="246">
        <f>SUM(F5:F31)</f>
        <v>17934.259999999998</v>
      </c>
      <c r="G33" s="246">
        <f>SUM(G5:G31)</f>
        <v>14320.82</v>
      </c>
      <c r="H33" s="246">
        <f>SUM(H5:H31)</f>
        <v>46175</v>
      </c>
    </row>
    <row r="35" spans="2:8" ht="12" thickBot="1" x14ac:dyDescent="0.25">
      <c r="B35" s="253" t="s">
        <v>841</v>
      </c>
      <c r="D35" s="254">
        <f>E33</f>
        <v>83674.42</v>
      </c>
      <c r="E35" s="249"/>
    </row>
    <row r="36" spans="2:8" ht="12" thickTop="1" x14ac:dyDescent="0.2">
      <c r="B36" t="s">
        <v>809</v>
      </c>
      <c r="D36" s="20">
        <f>D33</f>
        <v>2051041.2399999998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299985.37</v>
      </c>
      <c r="D8" s="95">
        <f>'DOE25'!G9</f>
        <v>9319.7099999999991</v>
      </c>
      <c r="E8" s="95">
        <f>'DOE25'!H9</f>
        <v>0</v>
      </c>
      <c r="F8" s="95">
        <f>'DOE25'!I9</f>
        <v>0</v>
      </c>
      <c r="G8" s="95">
        <f>'DOE25'!J9</f>
        <v>206710.91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36107.5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68596.160000000003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1746.85</v>
      </c>
      <c r="D12" s="95">
        <f>'DOE25'!G13</f>
        <v>1523.08</v>
      </c>
      <c r="E12" s="95">
        <f>'DOE25'!H13</f>
        <v>85375.45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295.55</v>
      </c>
      <c r="D13" s="95">
        <f>'DOE25'!G14</f>
        <v>137.66999999999999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2102.65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406731.43</v>
      </c>
      <c r="D18" s="41">
        <f>SUM(D8:D17)</f>
        <v>13083.109999999999</v>
      </c>
      <c r="E18" s="41">
        <f>SUM(E8:E17)</f>
        <v>85375.45</v>
      </c>
      <c r="F18" s="41">
        <f>SUM(F8:F17)</f>
        <v>0</v>
      </c>
      <c r="G18" s="41">
        <f>SUM(G8:G17)</f>
        <v>206710.91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68596.160000000003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21395.13</v>
      </c>
      <c r="D23" s="95">
        <f>'DOE25'!G24</f>
        <v>3510.69</v>
      </c>
      <c r="E23" s="95">
        <f>'DOE25'!H24</f>
        <v>4381.8500000000004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3606.49</v>
      </c>
      <c r="D27" s="95">
        <f>'DOE25'!G28</f>
        <v>0</v>
      </c>
      <c r="E27" s="95">
        <f>'DOE25'!H28</f>
        <v>11820.87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3757.56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576.57000000000005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28759.180000000004</v>
      </c>
      <c r="D31" s="41">
        <f>SUM(D21:D30)</f>
        <v>3510.69</v>
      </c>
      <c r="E31" s="41">
        <f>SUM(E21:E30)</f>
        <v>85375.450000000012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2102.65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38348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7469.7700000000041</v>
      </c>
      <c r="E47" s="95">
        <f>'DOE25'!H48</f>
        <v>0</v>
      </c>
      <c r="F47" s="95">
        <f>'DOE25'!I48</f>
        <v>0</v>
      </c>
      <c r="G47" s="95">
        <f>'DOE25'!J48</f>
        <v>206710.91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339624.24999999977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377972.24999999977</v>
      </c>
      <c r="D50" s="41">
        <f>SUM(D34:D49)</f>
        <v>9572.4200000000037</v>
      </c>
      <c r="E50" s="41">
        <f>SUM(E34:E49)</f>
        <v>0</v>
      </c>
      <c r="F50" s="41">
        <f>SUM(F34:F49)</f>
        <v>0</v>
      </c>
      <c r="G50" s="41">
        <f>SUM(G34:G49)</f>
        <v>206710.91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406731.42999999976</v>
      </c>
      <c r="D51" s="41">
        <f>D50+D31</f>
        <v>13083.110000000004</v>
      </c>
      <c r="E51" s="41">
        <f>E50+E31</f>
        <v>85375.450000000012</v>
      </c>
      <c r="F51" s="41">
        <f>F50+F31</f>
        <v>0</v>
      </c>
      <c r="G51" s="41">
        <f>G50+G31</f>
        <v>206710.91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1373720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695.76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252.47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12669.72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6166.26</v>
      </c>
      <c r="D61" s="95">
        <f>SUM('DOE25'!G98:G110)</f>
        <v>0</v>
      </c>
      <c r="E61" s="95">
        <f>SUM('DOE25'!H98:H110)</f>
        <v>4473.18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6862.02</v>
      </c>
      <c r="D62" s="130">
        <f>SUM(D57:D61)</f>
        <v>12669.72</v>
      </c>
      <c r="E62" s="130">
        <f>SUM(E57:E61)</f>
        <v>4473.18</v>
      </c>
      <c r="F62" s="130">
        <f>SUM(F57:F61)</f>
        <v>0</v>
      </c>
      <c r="G62" s="130">
        <f>SUM(G57:G61)</f>
        <v>252.47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1380582.02</v>
      </c>
      <c r="D63" s="22">
        <f>D56+D62</f>
        <v>12669.72</v>
      </c>
      <c r="E63" s="22">
        <f>E56+E62</f>
        <v>4473.18</v>
      </c>
      <c r="F63" s="22">
        <f>F56+F62</f>
        <v>0</v>
      </c>
      <c r="G63" s="22">
        <f>G56+G62</f>
        <v>252.47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519634.06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160204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2787.08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682625.14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3586.24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3023.87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3586.24</v>
      </c>
      <c r="D78" s="130">
        <f>SUM(D72:D77)</f>
        <v>3023.87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686211.38</v>
      </c>
      <c r="D81" s="130">
        <f>SUM(D79:D80)+D78+D70</f>
        <v>3023.87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4621.5200000000004</v>
      </c>
      <c r="D88" s="95">
        <f>SUM('DOE25'!G153:G161)</f>
        <v>24702.799999999999</v>
      </c>
      <c r="E88" s="95">
        <f>SUM('DOE25'!H153:H161)</f>
        <v>167566.12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4621.5200000000004</v>
      </c>
      <c r="D91" s="131">
        <f>SUM(D85:D90)</f>
        <v>24702.799999999999</v>
      </c>
      <c r="E91" s="131">
        <f>SUM(E85:E90)</f>
        <v>167566.12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17600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17600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2071414.92</v>
      </c>
      <c r="D104" s="86">
        <f>D63+D81+D91+D103</f>
        <v>57996.39</v>
      </c>
      <c r="E104" s="86">
        <f>E63+E81+E91+E103</f>
        <v>172039.3</v>
      </c>
      <c r="F104" s="86">
        <f>F63+F81+F91+F103</f>
        <v>0</v>
      </c>
      <c r="G104" s="86">
        <f>G63+G81+G103</f>
        <v>252.47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1052628.17</v>
      </c>
      <c r="D109" s="24" t="s">
        <v>286</v>
      </c>
      <c r="E109" s="95">
        <f>('DOE25'!L276)+('DOE25'!L295)+('DOE25'!L314)</f>
        <v>89149.510000000009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154950.29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9115.39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1207578.46</v>
      </c>
      <c r="D115" s="86">
        <f>SUM(D109:D114)</f>
        <v>0</v>
      </c>
      <c r="E115" s="86">
        <f>SUM(E109:E114)</f>
        <v>98264.900000000009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196565.97000000003</v>
      </c>
      <c r="D118" s="24" t="s">
        <v>286</v>
      </c>
      <c r="E118" s="95">
        <f>+('DOE25'!L281)+('DOE25'!L300)+('DOE25'!L319)</f>
        <v>11267.81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35133.090000000004</v>
      </c>
      <c r="D119" s="24" t="s">
        <v>286</v>
      </c>
      <c r="E119" s="95">
        <f>+('DOE25'!L282)+('DOE25'!L301)+('DOE25'!L320)</f>
        <v>48102.979999999996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139185.44</v>
      </c>
      <c r="D120" s="24" t="s">
        <v>286</v>
      </c>
      <c r="E120" s="95">
        <f>+('DOE25'!L283)+('DOE25'!L302)+('DOE25'!L321)</f>
        <v>10737.73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143749.71999999997</v>
      </c>
      <c r="D121" s="24" t="s">
        <v>286</v>
      </c>
      <c r="E121" s="95">
        <f>+('DOE25'!L284)+('DOE25'!L303)+('DOE25'!L322)</f>
        <v>1500.12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200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98523.51999999999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110453.6</v>
      </c>
      <c r="D124" s="24" t="s">
        <v>286</v>
      </c>
      <c r="E124" s="95">
        <f>+('DOE25'!L287)+('DOE25'!L306)+('DOE25'!L325)</f>
        <v>1965.76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56141.640000000007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723611.34</v>
      </c>
      <c r="D128" s="86">
        <f>SUM(D118:D127)</f>
        <v>56141.640000000007</v>
      </c>
      <c r="E128" s="86">
        <f>SUM(E118:E127)</f>
        <v>73774.39999999998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1175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</v>
      </c>
    </row>
    <row r="135" spans="1:7" x14ac:dyDescent="0.2">
      <c r="A135" t="s">
        <v>233</v>
      </c>
      <c r="B135" s="32" t="s">
        <v>234</v>
      </c>
      <c r="C135" s="95">
        <f>'DOE25'!L263</f>
        <v>17600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23.08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229.39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-252.46999999999997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923.94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64698.94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</v>
      </c>
    </row>
    <row r="145" spans="1:9" ht="12.75" thickTop="1" thickBot="1" x14ac:dyDescent="0.25">
      <c r="A145" s="33" t="s">
        <v>244</v>
      </c>
      <c r="C145" s="86">
        <f>(C115+C128+C144)</f>
        <v>1995888.7399999998</v>
      </c>
      <c r="D145" s="86">
        <f>(D115+D128+D144)</f>
        <v>56141.640000000007</v>
      </c>
      <c r="E145" s="86">
        <f>(E115+E128+E144)</f>
        <v>172039.3</v>
      </c>
      <c r="F145" s="86">
        <f>(F115+F128+F144)</f>
        <v>0</v>
      </c>
      <c r="G145" s="86">
        <f>(G115+G128+G144)</f>
        <v>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Stewartstown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18537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18537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1141778</v>
      </c>
      <c r="D10" s="182">
        <f>ROUND((C10/$C$28)*100,1)</f>
        <v>53.1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154950</v>
      </c>
      <c r="D11" s="182">
        <f>ROUND((C11/$C$28)*100,1)</f>
        <v>7.2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9115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207834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83236</v>
      </c>
      <c r="D16" s="182">
        <f t="shared" si="0"/>
        <v>3.9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149923</v>
      </c>
      <c r="D17" s="182">
        <f t="shared" si="0"/>
        <v>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145250</v>
      </c>
      <c r="D18" s="182">
        <f t="shared" si="0"/>
        <v>6.8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200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98524</v>
      </c>
      <c r="D20" s="182">
        <f t="shared" si="0"/>
        <v>4.5999999999999996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112419</v>
      </c>
      <c r="D21" s="182">
        <f t="shared" si="0"/>
        <v>5.2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1175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923.94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43472.28</v>
      </c>
      <c r="D27" s="182">
        <f t="shared" si="0"/>
        <v>2</v>
      </c>
    </row>
    <row r="28" spans="1:4" x14ac:dyDescent="0.2">
      <c r="B28" s="187" t="s">
        <v>717</v>
      </c>
      <c r="C28" s="180">
        <f>SUM(C10:C27)</f>
        <v>2148800.2199999997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2148800.2199999997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1373720</v>
      </c>
      <c r="D35" s="182">
        <f t="shared" ref="D35:D40" si="1">ROUND((C35/$C$41)*100,1)</f>
        <v>60.5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11587.669999999925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679838</v>
      </c>
      <c r="D37" s="182">
        <f t="shared" si="1"/>
        <v>29.9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9397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196890</v>
      </c>
      <c r="D39" s="182">
        <f t="shared" si="1"/>
        <v>8.6999999999999993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2271432.67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Stewartstown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2018-10-02T16:28:15Z</cp:lastPrinted>
  <dcterms:created xsi:type="dcterms:W3CDTF">1997-12-04T19:04:30Z</dcterms:created>
  <dcterms:modified xsi:type="dcterms:W3CDTF">2018-11-30T17:42:26Z</dcterms:modified>
</cp:coreProperties>
</file>