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05" i="1" l="1"/>
  <c r="F47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J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D29" i="13" s="1"/>
  <c r="C29" i="13" s="1"/>
  <c r="J290" i="1"/>
  <c r="J309" i="1"/>
  <c r="J328" i="1"/>
  <c r="K290" i="1"/>
  <c r="K309" i="1"/>
  <c r="K328" i="1"/>
  <c r="L276" i="1"/>
  <c r="L277" i="1"/>
  <c r="L278" i="1"/>
  <c r="C12" i="10" s="1"/>
  <c r="L279" i="1"/>
  <c r="L281" i="1"/>
  <c r="E118" i="2" s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I147" i="1"/>
  <c r="I162" i="1"/>
  <c r="C11" i="10"/>
  <c r="C13" i="10"/>
  <c r="L250" i="1"/>
  <c r="L332" i="1"/>
  <c r="L254" i="1"/>
  <c r="L268" i="1"/>
  <c r="L269" i="1"/>
  <c r="L349" i="1"/>
  <c r="L350" i="1"/>
  <c r="I665" i="1"/>
  <c r="I670" i="1"/>
  <c r="F661" i="1"/>
  <c r="G661" i="1"/>
  <c r="H661" i="1"/>
  <c r="F662" i="1"/>
  <c r="I669" i="1"/>
  <c r="C42" i="10"/>
  <c r="C32" i="10"/>
  <c r="L374" i="1"/>
  <c r="L375" i="1"/>
  <c r="L376" i="1"/>
  <c r="L377" i="1"/>
  <c r="L378" i="1"/>
  <c r="L379" i="1"/>
  <c r="F130" i="2" s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K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D115" i="2"/>
  <c r="F115" i="2"/>
  <c r="G115" i="2"/>
  <c r="C119" i="2"/>
  <c r="E123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I257" i="1" s="1"/>
  <c r="I271" i="1" s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I571" i="1" s="1"/>
  <c r="J565" i="1"/>
  <c r="J571" i="1" s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J643" i="1" s="1"/>
  <c r="H643" i="1"/>
  <c r="G644" i="1"/>
  <c r="G652" i="1"/>
  <c r="H652" i="1"/>
  <c r="G653" i="1"/>
  <c r="H653" i="1"/>
  <c r="G654" i="1"/>
  <c r="H654" i="1"/>
  <c r="H655" i="1"/>
  <c r="J655" i="1" s="1"/>
  <c r="F192" i="1"/>
  <c r="L256" i="1"/>
  <c r="K257" i="1"/>
  <c r="G164" i="2"/>
  <c r="C26" i="10"/>
  <c r="L328" i="1"/>
  <c r="D18" i="13"/>
  <c r="C18" i="13" s="1"/>
  <c r="D17" i="13"/>
  <c r="C17" i="13" s="1"/>
  <c r="G157" i="2"/>
  <c r="G161" i="2"/>
  <c r="D19" i="13"/>
  <c r="C19" i="13" s="1"/>
  <c r="J641" i="1"/>
  <c r="J639" i="1"/>
  <c r="K605" i="1"/>
  <c r="G648" i="1" s="1"/>
  <c r="L433" i="1"/>
  <c r="G552" i="1"/>
  <c r="G338" i="1"/>
  <c r="G352" i="1" s="1"/>
  <c r="J140" i="1"/>
  <c r="G22" i="2"/>
  <c r="K545" i="1"/>
  <c r="H140" i="1"/>
  <c r="A13" i="12"/>
  <c r="H25" i="13"/>
  <c r="C25" i="13" s="1"/>
  <c r="L560" i="1"/>
  <c r="J545" i="1"/>
  <c r="H338" i="1"/>
  <c r="H352" i="1" s="1"/>
  <c r="F552" i="1"/>
  <c r="L309" i="1"/>
  <c r="L570" i="1"/>
  <c r="G36" i="2"/>
  <c r="L382" i="1" l="1"/>
  <c r="G636" i="1" s="1"/>
  <c r="J636" i="1" s="1"/>
  <c r="C29" i="10"/>
  <c r="G645" i="1"/>
  <c r="I476" i="1"/>
  <c r="H625" i="1" s="1"/>
  <c r="J625" i="1" s="1"/>
  <c r="H476" i="1"/>
  <c r="H624" i="1" s="1"/>
  <c r="G476" i="1"/>
  <c r="H623" i="1" s="1"/>
  <c r="J623" i="1" s="1"/>
  <c r="I446" i="1"/>
  <c r="G642" i="1" s="1"/>
  <c r="D145" i="2"/>
  <c r="H192" i="1"/>
  <c r="E78" i="2"/>
  <c r="E81" i="2" s="1"/>
  <c r="G192" i="1"/>
  <c r="D50" i="2"/>
  <c r="J476" i="1"/>
  <c r="H626" i="1" s="1"/>
  <c r="K549" i="1"/>
  <c r="F476" i="1"/>
  <c r="H622" i="1" s="1"/>
  <c r="J622" i="1" s="1"/>
  <c r="F18" i="2"/>
  <c r="K598" i="1"/>
  <c r="G647" i="1" s="1"/>
  <c r="L565" i="1"/>
  <c r="L544" i="1"/>
  <c r="K551" i="1"/>
  <c r="H545" i="1"/>
  <c r="L539" i="1"/>
  <c r="L545" i="1" s="1"/>
  <c r="K552" i="1"/>
  <c r="L401" i="1"/>
  <c r="C139" i="2" s="1"/>
  <c r="J644" i="1"/>
  <c r="I460" i="1"/>
  <c r="I461" i="1" s="1"/>
  <c r="H642" i="1" s="1"/>
  <c r="J642" i="1" s="1"/>
  <c r="J640" i="1"/>
  <c r="J645" i="1"/>
  <c r="I369" i="1"/>
  <c r="H634" i="1" s="1"/>
  <c r="J634" i="1" s="1"/>
  <c r="L351" i="1"/>
  <c r="C25" i="10"/>
  <c r="C16" i="10"/>
  <c r="E128" i="2"/>
  <c r="C15" i="10"/>
  <c r="L290" i="1"/>
  <c r="E109" i="2"/>
  <c r="E115" i="2" s="1"/>
  <c r="C10" i="10"/>
  <c r="H33" i="13"/>
  <c r="C132" i="2"/>
  <c r="K271" i="1"/>
  <c r="E16" i="13"/>
  <c r="C16" i="13" s="1"/>
  <c r="F22" i="13"/>
  <c r="C22" i="13" s="1"/>
  <c r="H662" i="1"/>
  <c r="C112" i="2"/>
  <c r="C111" i="2"/>
  <c r="L247" i="1"/>
  <c r="H660" i="1" s="1"/>
  <c r="H664" i="1" s="1"/>
  <c r="C110" i="2"/>
  <c r="C109" i="2"/>
  <c r="H257" i="1"/>
  <c r="H271" i="1" s="1"/>
  <c r="G257" i="1"/>
  <c r="G271" i="1" s="1"/>
  <c r="G662" i="1"/>
  <c r="C21" i="10"/>
  <c r="I662" i="1"/>
  <c r="C20" i="10"/>
  <c r="C19" i="10"/>
  <c r="C18" i="10"/>
  <c r="C17" i="10"/>
  <c r="C118" i="2"/>
  <c r="A40" i="12"/>
  <c r="F257" i="1"/>
  <c r="F271" i="1" s="1"/>
  <c r="L229" i="1"/>
  <c r="G660" i="1" s="1"/>
  <c r="G664" i="1" s="1"/>
  <c r="G667" i="1" s="1"/>
  <c r="D5" i="13"/>
  <c r="C5" i="13" s="1"/>
  <c r="C115" i="2"/>
  <c r="G649" i="1"/>
  <c r="J649" i="1" s="1"/>
  <c r="D15" i="13"/>
  <c r="C15" i="13" s="1"/>
  <c r="H647" i="1"/>
  <c r="C124" i="2"/>
  <c r="C123" i="2"/>
  <c r="D14" i="13"/>
  <c r="C14" i="13" s="1"/>
  <c r="C122" i="2"/>
  <c r="E13" i="13"/>
  <c r="C13" i="13" s="1"/>
  <c r="C121" i="2"/>
  <c r="C120" i="2"/>
  <c r="E8" i="13"/>
  <c r="C8" i="13" s="1"/>
  <c r="L211" i="1"/>
  <c r="D6" i="13"/>
  <c r="C6" i="13" s="1"/>
  <c r="I169" i="1"/>
  <c r="F85" i="2"/>
  <c r="F91" i="2" s="1"/>
  <c r="F81" i="2"/>
  <c r="E103" i="2"/>
  <c r="H169" i="1"/>
  <c r="E85" i="2"/>
  <c r="E91" i="2" s="1"/>
  <c r="E62" i="2"/>
  <c r="E63" i="2" s="1"/>
  <c r="H112" i="1"/>
  <c r="D91" i="2"/>
  <c r="I661" i="1"/>
  <c r="C35" i="10"/>
  <c r="D63" i="2"/>
  <c r="C91" i="2"/>
  <c r="F169" i="1"/>
  <c r="C78" i="2"/>
  <c r="C70" i="2"/>
  <c r="C62" i="2"/>
  <c r="C63" i="2" s="1"/>
  <c r="F112" i="1"/>
  <c r="I52" i="1"/>
  <c r="H620" i="1" s="1"/>
  <c r="J620" i="1" s="1"/>
  <c r="J624" i="1"/>
  <c r="E31" i="2"/>
  <c r="H52" i="1"/>
  <c r="H619" i="1" s="1"/>
  <c r="J619" i="1" s="1"/>
  <c r="D31" i="2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D103" i="2"/>
  <c r="I140" i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D51" i="2" l="1"/>
  <c r="C39" i="10"/>
  <c r="E104" i="2"/>
  <c r="D104" i="2"/>
  <c r="C81" i="2"/>
  <c r="C104" i="2" s="1"/>
  <c r="C36" i="10"/>
  <c r="F193" i="1"/>
  <c r="G627" i="1" s="1"/>
  <c r="J627" i="1" s="1"/>
  <c r="C141" i="2"/>
  <c r="C144" i="2" s="1"/>
  <c r="L408" i="1"/>
  <c r="E51" i="2"/>
  <c r="J647" i="1"/>
  <c r="E145" i="2"/>
  <c r="D31" i="13"/>
  <c r="C31" i="13" s="1"/>
  <c r="L338" i="1"/>
  <c r="L352" i="1" s="1"/>
  <c r="G633" i="1" s="1"/>
  <c r="J633" i="1" s="1"/>
  <c r="H667" i="1"/>
  <c r="H672" i="1"/>
  <c r="C6" i="10" s="1"/>
  <c r="C28" i="10"/>
  <c r="D16" i="10" s="1"/>
  <c r="L257" i="1"/>
  <c r="L271" i="1" s="1"/>
  <c r="G632" i="1" s="1"/>
  <c r="J632" i="1" s="1"/>
  <c r="C128" i="2"/>
  <c r="F660" i="1"/>
  <c r="E33" i="13"/>
  <c r="D35" i="13" s="1"/>
  <c r="G104" i="2"/>
  <c r="I193" i="1"/>
  <c r="G630" i="1" s="1"/>
  <c r="J630" i="1" s="1"/>
  <c r="F104" i="2"/>
  <c r="G672" i="1"/>
  <c r="C5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3" i="10"/>
  <c r="D24" i="10"/>
  <c r="C145" i="2"/>
  <c r="G637" i="1"/>
  <c r="J637" i="1" s="1"/>
  <c r="H646" i="1"/>
  <c r="J646" i="1" s="1"/>
  <c r="D22" i="10"/>
  <c r="D19" i="10"/>
  <c r="C30" i="10"/>
  <c r="D27" i="10"/>
  <c r="D10" i="10"/>
  <c r="D20" i="10"/>
  <c r="D13" i="10"/>
  <c r="D18" i="10"/>
  <c r="D26" i="10"/>
  <c r="D15" i="10"/>
  <c r="D11" i="10"/>
  <c r="D17" i="10"/>
  <c r="D25" i="10"/>
  <c r="D21" i="10"/>
  <c r="D12" i="10"/>
  <c r="F664" i="1"/>
  <c r="I660" i="1"/>
  <c r="I664" i="1" s="1"/>
  <c r="I672" i="1" s="1"/>
  <c r="C7" i="10" s="1"/>
  <c r="C41" i="10"/>
  <c r="D38" i="10" s="1"/>
  <c r="H656" i="1" l="1"/>
  <c r="D28" i="10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<sst xmlns="http://schemas.openxmlformats.org/spreadsheetml/2006/main" count="3959" uniqueCount="915">
  <si>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</si>
  <si>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</si>
  <si>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</si>
  <si>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</si>
  <si>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</si>
  <si>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</si>
  <si>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</si>
  <si>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</si>
  <si>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</si>
  <si>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</si>
  <si>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</si>
  <si>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</si>
  <si>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</si>
  <si>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</si>
  <si>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</si>
  <si>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</si>
  <si>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</si>
  <si>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</si>
  <si>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</si>
  <si>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</si>
  <si>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</si>
  <si>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</si>
  <si>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</si>
  <si>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</si>
  <si>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</si>
  <si>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</si>
  <si>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</si>
  <si>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</si>
  <si>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</si>
  <si>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</si>
  <si>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</si>
  <si>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</si>
  <si>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</si>
  <si>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</si>
  <si>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</si>
  <si>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</si>
  <si>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</si>
  <si>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</si>
  <si>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</si>
  <si>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</si>
  <si>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</si>
  <si>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</si>
  <si>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</si>
  <si>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</si>
  <si>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</si>
  <si>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</si>
  <si>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</si>
  <si>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</si>
  <si>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</si>
  <si>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</si>
  <si>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</si>
  <si>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</si>
  <si>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</si>
  <si>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</si>
  <si>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</si>
  <si>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</si>
  <si>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</si>
  <si>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</si>
  <si>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</si>
  <si>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</si>
  <si>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</si>
  <si>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</si>
  <si>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</si>
  <si>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</si>
  <si>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</si>
  <si>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</si>
  <si>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</si>
  <si>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</si>
  <si>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</si>
  <si>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</si>
  <si>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</si>
  <si>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</si>
  <si>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</si>
  <si>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</si>
  <si>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</si>
  <si>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</si>
  <si>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</si>
  <si>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</si>
  <si>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</si>
  <si>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</si>
  <si>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</si>
  <si>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</si>
  <si>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</si>
  <si>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</si>
  <si>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</si>
  <si>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</si>
  <si>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</si>
  <si>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</si>
  <si>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</si>
  <si>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</si>
  <si>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</si>
  <si>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</si>
  <si>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</si>
  <si>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</si>
  <si>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</si>
  <si>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</si>
  <si>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</si>
  <si>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</si>
  <si>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</si>
  <si>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</si>
  <si>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</si>
  <si>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</si>
  <si>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</si>
  <si>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</si>
  <si>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</si>
  <si>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</si>
  <si>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</si>
  <si>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</si>
  <si>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</si>
  <si>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</si>
  <si>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</si>
  <si>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</si>
  <si>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</si>
  <si>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</si>
  <si>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</si>
  <si>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</si>
  <si>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</si>
  <si>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</si>
  <si>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</si>
  <si>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</si>
  <si>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</si>
  <si>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</si>
  <si>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</si>
  <si>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</si>
  <si>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</si>
  <si>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</si>
  <si>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</si>
  <si>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</si>
  <si>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</si>
  <si>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</si>
  <si>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</si>
  <si>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</si>
  <si>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</si>
  <si>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</si>
  <si>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</si>
  <si>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</si>
  <si>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</si>
  <si>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</si>
  <si>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</si>
  <si>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</si>
  <si>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</si>
  <si>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</si>
  <si>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</si>
  <si>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</si>
  <si>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</si>
  <si>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</si>
  <si>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</si>
  <si>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</si>
  <si>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</si>
  <si>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</si>
  <si>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</si>
  <si>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</si>
  <si>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</si>
  <si>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</si>
  <si>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</si>
  <si>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</si>
  <si>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</si>
  <si>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</si>
  <si>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</si>
  <si>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</si>
  <si>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</si>
  <si>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</si>
  <si>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</si>
  <si>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</si>
  <si>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</si>
  <si>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</si>
  <si>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</si>
  <si>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</si>
  <si>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</si>
  <si>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</si>
  <si>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</si>
  <si>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</si>
  <si>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</si>
  <si>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</si>
  <si>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</si>
  <si>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</si>
  <si>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</si>
  <si>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</si>
  <si>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</si>
  <si>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</si>
  <si>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</si>
  <si>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</si>
  <si>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</si>
  <si>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</si>
  <si>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</si>
  <si>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</si>
  <si>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</si>
  <si>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</si>
  <si>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</si>
  <si>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</si>
  <si>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</si>
  <si>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</si>
  <si>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</si>
  <si>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</si>
  <si>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</si>
  <si>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</si>
  <si>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</si>
  <si>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</si>
  <si>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</si>
  <si>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</si>
  <si>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</si>
  <si>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</si>
  <si>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</si>
  <si>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</si>
  <si>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</si>
  <si>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</si>
  <si>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</si>
  <si>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</si>
  <si>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</si>
  <si>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</si>
  <si>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</si>
  <si>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</si>
  <si>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</si>
  <si>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</si>
  <si>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</si>
  <si>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</si>
  <si>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</si>
  <si>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</si>
  <si>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</si>
  <si>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</si>
  <si>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</si>
  <si>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</si>
  <si>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</si>
  <si>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</si>
  <si>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</si>
  <si>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</si>
  <si>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</si>
  <si>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</si>
  <si>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</si>
  <si>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</si>
  <si>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</si>
  <si>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</si>
  <si>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</si>
  <si>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</si>
  <si>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</si>
  <si>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</si>
  <si>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</si>
  <si>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</si>
  <si>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</si>
  <si>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</si>
  <si>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</si>
  <si>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</si>
  <si>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</si>
  <si>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</si>
  <si>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</si>
  <si>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</si>
  <si>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</si>
  <si>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</si>
  <si>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</si>
  <si>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</si>
  <si>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</si>
  <si>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</si>
  <si>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</si>
  <si>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</si>
  <si>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</si>
  <si>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</si>
  <si>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</si>
  <si>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</si>
  <si>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</si>
  <si>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</si>
  <si>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</si>
  <si>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</si>
  <si>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</si>
  <si>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</si>
  <si>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</si>
  <si>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</si>
  <si>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</si>
  <si>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</si>
  <si>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</si>
  <si>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</si>
  <si>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</si>
  <si>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</si>
  <si>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</si>
  <si>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</si>
  <si>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</si>
  <si>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</si>
  <si>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</si>
  <si>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</si>
  <si>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</si>
  <si>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</si>
  <si>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</si>
  <si>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</si>
  <si>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</si>
  <si>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</si>
  <si>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</si>
  <si>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</si>
  <si>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</si>
  <si>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</si>
  <si>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</si>
  <si>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</si>
  <si>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</si>
  <si>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</si>
  <si>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</si>
  <si>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</si>
  <si>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</si>
  <si>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</si>
  <si>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</si>
  <si>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</si>
  <si>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</si>
  <si>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</si>
  <si>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</si>
  <si>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</si>
  <si>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</si>
  <si>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</si>
  <si>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</si>
  <si>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</si>
  <si>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</si>
  <si>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</si>
  <si>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</si>
  <si>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</si>
  <si>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</si>
  <si>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</si>
  <si>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</si>
  <si>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</si>
  <si>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</si>
  <si>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</si>
  <si>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</si>
  <si>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</si>
  <si>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</si>
  <si>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</si>
  <si>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</si>
  <si>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</si>
  <si>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</si>
  <si>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</si>
  <si>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</si>
  <si>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</si>
  <si>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</si>
  <si>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</si>
  <si>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</si>
  <si>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</si>
  <si>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</si>
  <si>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</si>
  <si>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</si>
  <si>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</si>
  <si>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</si>
  <si>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</si>
  <si>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</si>
  <si>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</si>
  <si>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</si>
  <si>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</si>
  <si>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</si>
  <si>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</si>
  <si>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</si>
  <si>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</si>
  <si>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</si>
  <si>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</si>
  <si>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</si>
  <si>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</si>
  <si>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</si>
  <si>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</si>
  <si>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</si>
  <si>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</si>
  <si>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</si>
  <si>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</si>
  <si>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</si>
  <si>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</si>
  <si>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</si>
  <si>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</si>
  <si>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</si>
  <si>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</si>
  <si>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</si>
  <si>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</si>
  <si>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</si>
  <si>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</si>
  <si>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</si>
  <si>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</si>
  <si>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</si>
  <si>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</si>
  <si>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</si>
  <si>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</si>
  <si>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</si>
  <si>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</si>
  <si>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</si>
  <si>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</si>
  <si>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</si>
  <si>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</si>
  <si>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</si>
  <si>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</si>
  <si>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</si>
  <si>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</si>
  <si>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</si>
  <si>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</si>
  <si>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</si>
  <si>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</si>
  <si>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</si>
  <si>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</si>
  <si>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</si>
  <si>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</si>
  <si>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</si>
  <si>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</si>
  <si>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</si>
  <si>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</si>
  <si>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</si>
  <si>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</si>
  <si>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</si>
  <si>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</si>
  <si>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</si>
  <si>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</si>
  <si>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</si>
  <si>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</si>
  <si>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</si>
  <si>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</si>
  <si>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</si>
  <si>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</si>
  <si>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</si>
  <si>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</si>
  <si>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</si>
  <si>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</si>
  <si>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</si>
  <si>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</si>
  <si>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</si>
  <si>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</si>
  <si>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</si>
  <si>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</si>
  <si>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</si>
  <si>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</si>
  <si>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</si>
  <si>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</si>
  <si>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</si>
  <si>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</si>
  <si>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</si>
  <si>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</si>
  <si>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</si>
  <si>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</si>
  <si>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</si>
  <si>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</si>
  <si>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</si>
  <si>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</si>
  <si>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</si>
  <si>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</si>
  <si>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</si>
  <si>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</si>
  <si>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</si>
  <si>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</si>
  <si>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</si>
  <si>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</si>
  <si>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</si>
  <si>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</si>
  <si>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</si>
  <si>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</si>
  <si>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</si>
  <si>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</si>
  <si>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</si>
  <si>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</si>
  <si>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</si>
  <si>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</si>
  <si>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</si>
  <si>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</si>
  <si>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</si>
  <si>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</si>
  <si>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</si>
  <si>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</si>
  <si>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</si>
  <si>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</si>
  <si>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</si>
  <si>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</si>
  <si>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</si>
  <si>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</si>
  <si>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</si>
  <si>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</si>
  <si>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</si>
  <si>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</si>
  <si>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</si>
  <si>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</si>
  <si>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</si>
  <si>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</si>
  <si>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</si>
  <si>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</si>
  <si>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</si>
  <si>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</si>
  <si>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</si>
  <si>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</si>
  <si>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</si>
  <si>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</si>
  <si>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</si>
  <si>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</si>
  <si>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</si>
  <si>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</si>
  <si>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</si>
  <si>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</si>
  <si>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</si>
  <si>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</si>
  <si>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</si>
  <si>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</si>
  <si>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</si>
  <si>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</si>
  <si>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</si>
  <si>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</si>
  <si>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</si>
  <si>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</si>
  <si>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</si>
  <si>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</si>
  <si>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</si>
  <si>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</si>
  <si>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</si>
  <si>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</si>
  <si>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</si>
  <si>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</si>
  <si>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</si>
  <si>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</si>
  <si>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</si>
  <si>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</si>
  <si>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</si>
  <si>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</si>
  <si>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</si>
  <si>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</si>
  <si>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</si>
  <si>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</si>
  <si>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</si>
  <si>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</si>
  <si>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</si>
  <si>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</si>
  <si>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</si>
  <si>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</si>
  <si>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</si>
  <si>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</si>
  <si>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</si>
  <si>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</si>
  <si>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</si>
  <si>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</si>
  <si>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</si>
  <si>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</si>
  <si>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</si>
  <si>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</si>
  <si>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</si>
  <si>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</si>
  <si>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</si>
  <si>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</si>
  <si>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</si>
  <si>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</si>
  <si>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</si>
  <si>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</si>
  <si>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</si>
  <si>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</si>
  <si>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</si>
  <si>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</si>
  <si>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</si>
  <si>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</si>
  <si>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</si>
  <si>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</si>
  <si>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</si>
  <si>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</si>
  <si>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</si>
  <si>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</si>
  <si>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</si>
  <si>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</si>
  <si>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</si>
  <si>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</si>
  <si>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</si>
  <si>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</si>
  <si>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</si>
  <si>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</si>
  <si>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</si>
  <si>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</si>
  <si>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</si>
  <si>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</si>
  <si>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</si>
  <si>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</si>
  <si>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</si>
  <si>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</si>
  <si>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</si>
  <si>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</si>
  <si>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</si>
  <si>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</si>
  <si>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</si>
  <si>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</si>
  <si>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</si>
  <si>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</si>
  <si>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</si>
  <si>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</si>
  <si>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</si>
  <si>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</si>
  <si>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</si>
  <si>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</si>
  <si>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</si>
  <si>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</si>
  <si>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</si>
  <si>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</si>
  <si>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</si>
  <si>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</si>
  <si>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</si>
  <si>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</si>
  <si>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</si>
  <si>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</si>
  <si>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</si>
  <si>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</si>
  <si>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</si>
  <si>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</si>
  <si>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</si>
  <si>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</si>
  <si>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</si>
  <si>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</si>
  <si>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</si>
  <si>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</si>
  <si>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</si>
  <si>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</si>
  <si>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</si>
  <si>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</si>
  <si>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</si>
  <si>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</si>
  <si>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</si>
  <si>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</si>
  <si>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</si>
  <si>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</si>
  <si>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</si>
  <si>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</si>
  <si>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</si>
  <si>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</si>
  <si>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</si>
  <si>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</si>
  <si>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</si>
  <si>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</si>
  <si>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</si>
  <si>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</si>
  <si>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</si>
  <si>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</si>
  <si>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</si>
  <si>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</si>
  <si>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</si>
  <si>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</si>
  <si>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</si>
  <si>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</si>
  <si>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</si>
  <si>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</si>
  <si>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</si>
  <si>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</si>
  <si>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</si>
  <si>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</si>
  <si>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</si>
  <si>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</si>
  <si>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</si>
  <si>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</si>
  <si>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</si>
  <si>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</si>
  <si>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</si>
  <si>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</si>
  <si>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</si>
  <si>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</si>
  <si>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</si>
  <si>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</si>
  <si>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</si>
  <si>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</si>
  <si>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</si>
  <si>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</si>
  <si>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</si>
  <si>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</si>
  <si>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</si>
  <si>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</si>
  <si>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</si>
  <si>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</si>
  <si>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</si>
  <si>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</si>
  <si>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</si>
  <si>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</si>
  <si>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</si>
  <si>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</si>
  <si>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</si>
  <si>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</si>
  <si>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</si>
  <si>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</si>
  <si>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</si>
  <si>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</si>
  <si>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</si>
  <si>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</si>
  <si>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</si>
  <si>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</si>
  <si>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</si>
  <si>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</si>
  <si>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</si>
  <si>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</si>
  <si>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</si>
  <si>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</si>
  <si>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</si>
  <si>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</si>
  <si>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</si>
  <si>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</si>
  <si>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</si>
  <si>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</si>
  <si>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</si>
  <si>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</si>
  <si>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</si>
  <si>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</si>
  <si>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</si>
  <si>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</si>
  <si>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</si>
  <si>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</si>
  <si>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</si>
  <si>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</si>
  <si>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</si>
  <si>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</si>
  <si>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</si>
  <si>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</si>
  <si>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</si>
  <si>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</si>
  <si>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</si>
  <si>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</si>
  <si>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</si>
  <si>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</si>
  <si>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</si>
  <si>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</si>
  <si>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</si>
  <si>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</si>
  <si>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</si>
  <si>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</si>
  <si>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</si>
  <si>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</si>
  <si>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</si>
  <si>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</si>
  <si>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</si>
  <si>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</si>
  <si>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</si>
  <si>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</si>
  <si>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</si>
  <si>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</si>
  <si>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</si>
  <si>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</si>
  <si>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</si>
  <si>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</si>
  <si>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</si>
  <si>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</si>
  <si>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</si>
  <si>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</si>
  <si>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</si>
  <si>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</si>
  <si>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</si>
  <si>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</si>
  <si>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</si>
  <si>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</si>
  <si>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</si>
  <si>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</si>
  <si>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</si>
  <si>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</si>
  <si>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</si>
  <si>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</si>
  <si>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</si>
  <si>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</si>
  <si>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</si>
  <si>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</si>
  <si>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</si>
  <si>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</si>
  <si>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</si>
  <si>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</si>
  <si>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</si>
  <si>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</si>
  <si>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</si>
  <si>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</si>
  <si>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</si>
  <si>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</si>
  <si>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</si>
  <si>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</si>
  <si>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</si>
  <si>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</si>
  <si>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</si>
  <si>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</si>
  <si>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</si>
  <si>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</si>
  <si>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</si>
  <si>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</si>
  <si>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</si>
  <si>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</si>
  <si>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</si>
  <si>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</si>
  <si>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</si>
  <si>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</si>
  <si>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</si>
  <si>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</si>
  <si>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</si>
  <si>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</si>
  <si>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</si>
  <si>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</si>
  <si>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</si>
  <si>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</si>
  <si>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</si>
  <si>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</si>
  <si>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</si>
  <si>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</si>
  <si>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</si>
  <si>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</si>
  <si>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</si>
  <si>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</si>
  <si>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</si>
  <si>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</si>
  <si>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</si>
  <si>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</si>
  <si>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</si>
  <si>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</si>
  <si>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</si>
  <si>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</si>
  <si>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</si>
  <si>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</si>
  <si>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</si>
  <si>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</si>
  <si>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</si>
  <si>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</si>
  <si>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</si>
  <si>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</si>
  <si>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</si>
  <si>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</si>
  <si>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</si>
  <si>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</si>
  <si>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</si>
  <si>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</si>
  <si>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</si>
  <si>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</si>
  <si>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</si>
  <si>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</si>
  <si>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</si>
  <si>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</si>
  <si>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</si>
  <si>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</si>
  <si>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</si>
  <si>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</si>
  <si>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</si>
  <si>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</si>
  <si>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</si>
  <si>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</si>
  <si>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</si>
  <si>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</si>
  <si>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</si>
  <si>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</si>
  <si>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</si>
  <si>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</si>
  <si>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</si>
  <si>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</si>
  <si>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</si>
  <si>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</si>
  <si>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</si>
  <si>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</si>
  <si>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</si>
  <si>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</si>
  <si>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</si>
  <si>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</si>
  <si>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</si>
  <si>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</si>
  <si>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</si>
  <si>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</si>
  <si>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</si>
  <si>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</si>
  <si>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</si>
  <si>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</si>
  <si>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</si>
  <si>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</si>
  <si>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</si>
  <si>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</si>
  <si>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</si>
  <si>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</si>
  <si>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</si>
  <si>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</si>
  <si>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</si>
  <si>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</si>
  <si>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</si>
  <si>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</si>
  <si>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</si>
  <si>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</si>
  <si>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</si>
  <si>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</si>
  <si>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</si>
  <si>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</si>
  <si>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</si>
  <si>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</si>
  <si>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</si>
  <si>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</si>
  <si>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</si>
  <si>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</si>
  <si>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</si>
  <si>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</si>
  <si>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</si>
  <si>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</si>
  <si>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</si>
  <si>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</si>
  <si>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</si>
  <si>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</si>
  <si>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</si>
  <si>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</si>
  <si>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</si>
  <si>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</si>
  <si>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</si>
  <si>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</si>
  <si>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</si>
  <si>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</si>
  <si>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</si>
  <si>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</si>
  <si>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</si>
  <si>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</si>
  <si>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</si>
  <si>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</si>
  <si>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</si>
  <si>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</si>
  <si>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</si>
  <si>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</si>
  <si>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</si>
  <si>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</si>
  <si>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</si>
  <si>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</si>
  <si>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</si>
  <si>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</si>
  <si>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</si>
  <si>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</si>
  <si>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</si>
  <si>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</si>
  <si>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</si>
  <si>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</si>
  <si>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</si>
  <si>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</si>
  <si>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</si>
  <si>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</si>
  <si>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</si>
  <si>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</si>
  <si>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</si>
  <si>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</si>
  <si>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</si>
  <si>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</si>
  <si>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STODDARD SCHOOL DISTRICT</t>
  </si>
  <si>
    <t>payables not paid</t>
  </si>
  <si>
    <t>accrual 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</si>
</sst>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4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503</v>
      </c>
      <c r="C2" s="21">
        <v>503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368185.94</v>
      </c>
      <c r="G9" s="18">
        <v>-10002.93</v>
      </c>
      <c r="H9" s="18">
        <v>-4715.58</v>
      </c>
      <c r="I9" s="18">
        <v>0</v>
      </c>
      <c r="J9" s="67">
        <f>SUM(I439)</f>
        <v>118192.04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0</v>
      </c>
      <c r="G12" s="18">
        <v>9193.74</v>
      </c>
      <c r="H12" s="18">
        <v>0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20839.34</v>
      </c>
      <c r="G13" s="18">
        <v>809.19</v>
      </c>
      <c r="H13" s="18">
        <v>4994.58</v>
      </c>
      <c r="I13" s="18">
        <v>0</v>
      </c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209.08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389234.36000000004</v>
      </c>
      <c r="G19" s="41">
        <f>SUM(G9:G18)</f>
        <v>-4.5474735088646412E-13</v>
      </c>
      <c r="H19" s="41">
        <f>SUM(H9:H18)</f>
        <v>279</v>
      </c>
      <c r="I19" s="41">
        <f>SUM(I9:I18)</f>
        <v>0</v>
      </c>
      <c r="J19" s="41">
        <f>SUM(J9:J18)</f>
        <v>118192.04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9193.74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21640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22135.8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582.28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3084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56635.819999999992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/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55000</v>
      </c>
      <c r="G44" s="18">
        <v>0</v>
      </c>
      <c r="H44" s="18">
        <v>0</v>
      </c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279</v>
      </c>
      <c r="I48" s="18">
        <v>0</v>
      </c>
      <c r="J48" s="13">
        <f>SUM(I459)</f>
        <v>118192.04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277598.53999999998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332598.53999999998</v>
      </c>
      <c r="G51" s="41">
        <f>SUM(G35:G50)</f>
        <v>0</v>
      </c>
      <c r="H51" s="41">
        <f>SUM(H35:H50)</f>
        <v>279</v>
      </c>
      <c r="I51" s="41">
        <f>SUM(I35:I50)</f>
        <v>0</v>
      </c>
      <c r="J51" s="41">
        <f>SUM(J35:J50)</f>
        <v>118192.04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389234.36</v>
      </c>
      <c r="G52" s="41">
        <f>G51+G32</f>
        <v>0</v>
      </c>
      <c r="H52" s="41">
        <f>H51+H32</f>
        <v>279</v>
      </c>
      <c r="I52" s="41">
        <f>I51+I32</f>
        <v>0</v>
      </c>
      <c r="J52" s="41">
        <f>J51+J32</f>
        <v>118192.04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2037844</v>
      </c>
      <c r="G57" s="18">
        <v>13500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2037844</v>
      </c>
      <c r="G60" s="41">
        <f>SUM(G57:G59)</f>
        <v>13500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2829.07</v>
      </c>
      <c r="G96" s="18">
        <v>0</v>
      </c>
      <c r="H96" s="18">
        <v>0</v>
      </c>
      <c r="I96" s="18">
        <v>0</v>
      </c>
      <c r="J96" s="18">
        <v>1393.89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18903.990000000002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30833.4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500</v>
      </c>
      <c r="I102" s="18">
        <v>0</v>
      </c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6590.79</v>
      </c>
      <c r="G110" s="18">
        <v>0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9419.86</v>
      </c>
      <c r="G111" s="41">
        <f>SUM(G96:G110)</f>
        <v>18903.990000000002</v>
      </c>
      <c r="H111" s="41">
        <f>SUM(H96:H110)</f>
        <v>31333.4</v>
      </c>
      <c r="I111" s="41">
        <f>SUM(I96:I110)</f>
        <v>0</v>
      </c>
      <c r="J111" s="41">
        <f>SUM(J96:J110)</f>
        <v>1393.89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2047263.86</v>
      </c>
      <c r="G112" s="41">
        <f>G60+G111</f>
        <v>32403.99</v>
      </c>
      <c r="H112" s="41">
        <f>H60+H79+H94+H111</f>
        <v>31333.4</v>
      </c>
      <c r="I112" s="41">
        <f>I60+I111</f>
        <v>0</v>
      </c>
      <c r="J112" s="41">
        <f>J60+J111</f>
        <v>1393.89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122506.33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546877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1393.54</v>
      </c>
      <c r="G120" s="18">
        <v>0</v>
      </c>
      <c r="H120" s="18">
        <v>0</v>
      </c>
      <c r="I120" s="18">
        <v>0</v>
      </c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670776.87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65892.67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0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445.62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65892.67</v>
      </c>
      <c r="G136" s="41">
        <f>SUM(G123:G135)</f>
        <v>445.62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736669.54</v>
      </c>
      <c r="G140" s="41">
        <f>G121+SUM(G136:G137)</f>
        <v>445.62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0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14821.35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11232.61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0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22563.93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22563.93</v>
      </c>
      <c r="G162" s="41">
        <f>SUM(G150:G161)</f>
        <v>11232.61</v>
      </c>
      <c r="H162" s="41">
        <f>SUM(H150:H161)</f>
        <v>14821.35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22563.93</v>
      </c>
      <c r="G169" s="41">
        <f>G147+G162+SUM(G163:G168)</f>
        <v>11232.61</v>
      </c>
      <c r="H169" s="41">
        <f>H147+H162+SUM(H163:H168)</f>
        <v>14821.35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>
        <v>0</v>
      </c>
      <c r="I179" s="18">
        <v>0</v>
      </c>
      <c r="J179" s="18">
        <v>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321000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321000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321000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3127497.3300000005</v>
      </c>
      <c r="G193" s="47">
        <f>G112+G140+G169+G192</f>
        <v>44082.22</v>
      </c>
      <c r="H193" s="47">
        <f>H112+H140+H169+H192</f>
        <v>46154.75</v>
      </c>
      <c r="I193" s="47">
        <f>I112+I140+I169+I192</f>
        <v>0</v>
      </c>
      <c r="J193" s="47">
        <f>J112+J140+J192</f>
        <v>1393.89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245967.15</v>
      </c>
      <c r="G197" s="18">
        <v>80226</v>
      </c>
      <c r="H197" s="18">
        <v>31135.15</v>
      </c>
      <c r="I197" s="18">
        <v>20171.849999999999</v>
      </c>
      <c r="J197" s="18">
        <v>4377.5200000000004</v>
      </c>
      <c r="K197" s="18">
        <v>3000</v>
      </c>
      <c r="L197" s="19">
        <f>SUM(F197:K197)</f>
        <v>384877.67000000004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128592.4</v>
      </c>
      <c r="G198" s="18">
        <v>19307.75</v>
      </c>
      <c r="H198" s="18">
        <v>15982.74</v>
      </c>
      <c r="I198" s="18">
        <v>1830.42</v>
      </c>
      <c r="J198" s="18">
        <v>0</v>
      </c>
      <c r="K198" s="18">
        <v>2137.7800000000002</v>
      </c>
      <c r="L198" s="19">
        <f>SUM(F198:K198)</f>
        <v>167851.09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0</v>
      </c>
      <c r="G200" s="18">
        <v>0</v>
      </c>
      <c r="H200" s="18">
        <v>815.61</v>
      </c>
      <c r="I200" s="18">
        <v>0</v>
      </c>
      <c r="J200" s="18">
        <v>0</v>
      </c>
      <c r="K200" s="18">
        <v>0</v>
      </c>
      <c r="L200" s="19">
        <f>SUM(F200:K200)</f>
        <v>815.61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25044.71</v>
      </c>
      <c r="G202" s="18">
        <v>1915.8</v>
      </c>
      <c r="H202" s="18">
        <v>61618</v>
      </c>
      <c r="I202" s="18">
        <v>1436.85</v>
      </c>
      <c r="J202" s="18">
        <v>0</v>
      </c>
      <c r="K202" s="18">
        <v>0</v>
      </c>
      <c r="L202" s="19">
        <f t="shared" ref="L202:L208" si="0">SUM(F202:K202)</f>
        <v>90015.360000000001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5525.14</v>
      </c>
      <c r="G203" s="18">
        <v>6245.73</v>
      </c>
      <c r="H203" s="18">
        <v>2599.9899999999998</v>
      </c>
      <c r="I203" s="18">
        <v>9575.86</v>
      </c>
      <c r="J203" s="18">
        <v>19895.61</v>
      </c>
      <c r="K203" s="18">
        <v>0</v>
      </c>
      <c r="L203" s="19">
        <f t="shared" si="0"/>
        <v>43842.33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1458.5</v>
      </c>
      <c r="G204" s="18">
        <v>111.58</v>
      </c>
      <c r="H204" s="18">
        <v>78487.039999999994</v>
      </c>
      <c r="I204" s="18">
        <v>683.73</v>
      </c>
      <c r="J204" s="18">
        <v>0</v>
      </c>
      <c r="K204" s="18">
        <v>12204.57</v>
      </c>
      <c r="L204" s="19">
        <f t="shared" si="0"/>
        <v>92945.419999999984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103680.92</v>
      </c>
      <c r="G205" s="18">
        <v>43281.89</v>
      </c>
      <c r="H205" s="18">
        <f>11441.02</f>
        <v>11441.02</v>
      </c>
      <c r="I205" s="18">
        <v>430.62</v>
      </c>
      <c r="J205" s="18">
        <v>0</v>
      </c>
      <c r="K205" s="18">
        <v>780</v>
      </c>
      <c r="L205" s="19">
        <f t="shared" si="0"/>
        <v>159614.44999999998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53536.77</v>
      </c>
      <c r="G207" s="18">
        <v>4281.01</v>
      </c>
      <c r="H207" s="18">
        <v>124967.72</v>
      </c>
      <c r="I207" s="18">
        <v>34128.79</v>
      </c>
      <c r="J207" s="18">
        <v>16606</v>
      </c>
      <c r="K207" s="18">
        <v>0</v>
      </c>
      <c r="L207" s="19">
        <f t="shared" si="0"/>
        <v>233520.29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45045.33</v>
      </c>
      <c r="I208" s="18">
        <v>0</v>
      </c>
      <c r="J208" s="18">
        <v>0</v>
      </c>
      <c r="K208" s="18">
        <v>0</v>
      </c>
      <c r="L208" s="19">
        <f t="shared" si="0"/>
        <v>45045.33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563805.59</v>
      </c>
      <c r="G211" s="41">
        <f t="shared" si="1"/>
        <v>155369.76</v>
      </c>
      <c r="H211" s="41">
        <f t="shared" si="1"/>
        <v>372092.60000000003</v>
      </c>
      <c r="I211" s="41">
        <f t="shared" si="1"/>
        <v>68258.12</v>
      </c>
      <c r="J211" s="41">
        <f t="shared" si="1"/>
        <v>40879.130000000005</v>
      </c>
      <c r="K211" s="41">
        <f t="shared" si="1"/>
        <v>18122.349999999999</v>
      </c>
      <c r="L211" s="41">
        <f t="shared" si="1"/>
        <v>1218527.55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0</v>
      </c>
      <c r="G215" s="18">
        <v>0</v>
      </c>
      <c r="H215" s="18">
        <v>375939.47</v>
      </c>
      <c r="I215" s="18">
        <v>0</v>
      </c>
      <c r="J215" s="18">
        <v>0</v>
      </c>
      <c r="K215" s="18">
        <v>0</v>
      </c>
      <c r="L215" s="19">
        <f>SUM(F215:K215)</f>
        <v>375939.47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0</v>
      </c>
      <c r="G216" s="18">
        <v>0</v>
      </c>
      <c r="H216" s="18">
        <v>255272.08</v>
      </c>
      <c r="I216" s="18">
        <v>0</v>
      </c>
      <c r="J216" s="18">
        <v>0</v>
      </c>
      <c r="K216" s="18">
        <v>0</v>
      </c>
      <c r="L216" s="19">
        <f>SUM(F216:K216)</f>
        <v>255272.08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186.5</v>
      </c>
      <c r="G222" s="18">
        <v>14.26</v>
      </c>
      <c r="H222" s="18">
        <v>38717.67</v>
      </c>
      <c r="I222" s="18">
        <v>21</v>
      </c>
      <c r="J222" s="18">
        <v>0</v>
      </c>
      <c r="K222" s="18">
        <v>236.77</v>
      </c>
      <c r="L222" s="19">
        <f t="shared" si="2"/>
        <v>39176.199999999997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23584.62</v>
      </c>
      <c r="I226" s="18">
        <v>0</v>
      </c>
      <c r="J226" s="18">
        <v>0</v>
      </c>
      <c r="K226" s="18">
        <v>0</v>
      </c>
      <c r="L226" s="19">
        <f t="shared" si="2"/>
        <v>23584.62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186.5</v>
      </c>
      <c r="G229" s="41">
        <f>SUM(G215:G228)</f>
        <v>14.26</v>
      </c>
      <c r="H229" s="41">
        <f>SUM(H215:H228)</f>
        <v>693513.84</v>
      </c>
      <c r="I229" s="41">
        <f>SUM(I215:I228)</f>
        <v>21</v>
      </c>
      <c r="J229" s="41">
        <f>SUM(J215:J228)</f>
        <v>0</v>
      </c>
      <c r="K229" s="41">
        <f t="shared" si="3"/>
        <v>236.77</v>
      </c>
      <c r="L229" s="41">
        <f t="shared" si="3"/>
        <v>693972.36999999988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0</v>
      </c>
      <c r="G233" s="18">
        <v>0</v>
      </c>
      <c r="H233" s="18">
        <v>447874.06</v>
      </c>
      <c r="I233" s="18">
        <v>0</v>
      </c>
      <c r="J233" s="18">
        <v>0</v>
      </c>
      <c r="K233" s="18">
        <v>0</v>
      </c>
      <c r="L233" s="19">
        <f>SUM(F233:K233)</f>
        <v>447874.06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0</v>
      </c>
      <c r="G234" s="18">
        <v>0</v>
      </c>
      <c r="H234" s="18">
        <v>92139.3</v>
      </c>
      <c r="I234" s="18">
        <v>0</v>
      </c>
      <c r="J234" s="18">
        <v>0</v>
      </c>
      <c r="K234" s="18">
        <v>0</v>
      </c>
      <c r="L234" s="19">
        <f>SUM(F234:K234)</f>
        <v>92139.3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0</v>
      </c>
      <c r="G236" s="18"/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405</v>
      </c>
      <c r="G240" s="18">
        <v>30.99</v>
      </c>
      <c r="H240" s="18">
        <v>37635.33</v>
      </c>
      <c r="I240" s="18">
        <v>50</v>
      </c>
      <c r="J240" s="18">
        <v>0</v>
      </c>
      <c r="K240" s="18">
        <v>564.59</v>
      </c>
      <c r="L240" s="19">
        <f t="shared" si="4"/>
        <v>38685.909999999996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35415.449999999997</v>
      </c>
      <c r="I244" s="18">
        <v>0</v>
      </c>
      <c r="J244" s="18">
        <v>0</v>
      </c>
      <c r="K244" s="18">
        <v>0</v>
      </c>
      <c r="L244" s="19">
        <f t="shared" si="4"/>
        <v>35415.449999999997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405</v>
      </c>
      <c r="G247" s="41">
        <f t="shared" si="5"/>
        <v>30.99</v>
      </c>
      <c r="H247" s="41">
        <f t="shared" si="5"/>
        <v>613064.1399999999</v>
      </c>
      <c r="I247" s="41">
        <f t="shared" si="5"/>
        <v>50</v>
      </c>
      <c r="J247" s="41">
        <f t="shared" si="5"/>
        <v>0</v>
      </c>
      <c r="K247" s="41">
        <f t="shared" si="5"/>
        <v>564.59</v>
      </c>
      <c r="L247" s="41">
        <f t="shared" si="5"/>
        <v>614114.72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485724.48</v>
      </c>
      <c r="I255" s="18"/>
      <c r="J255" s="18"/>
      <c r="K255" s="18"/>
      <c r="L255" s="19">
        <f t="shared" si="6"/>
        <v>485724.48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485724.48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485724.48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564397.09</v>
      </c>
      <c r="G257" s="41">
        <f t="shared" si="8"/>
        <v>155415.01</v>
      </c>
      <c r="H257" s="41">
        <f t="shared" si="8"/>
        <v>2164395.0599999996</v>
      </c>
      <c r="I257" s="41">
        <f t="shared" si="8"/>
        <v>68329.119999999995</v>
      </c>
      <c r="J257" s="41">
        <f t="shared" si="8"/>
        <v>40879.130000000005</v>
      </c>
      <c r="K257" s="41">
        <f t="shared" si="8"/>
        <v>18923.71</v>
      </c>
      <c r="L257" s="41">
        <f t="shared" si="8"/>
        <v>3012339.1199999996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0</v>
      </c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564397.09</v>
      </c>
      <c r="G271" s="42">
        <f t="shared" si="11"/>
        <v>155415.01</v>
      </c>
      <c r="H271" s="42">
        <f t="shared" si="11"/>
        <v>2164395.0599999996</v>
      </c>
      <c r="I271" s="42">
        <f t="shared" si="11"/>
        <v>68329.119999999995</v>
      </c>
      <c r="J271" s="42">
        <f t="shared" si="11"/>
        <v>40879.130000000005</v>
      </c>
      <c r="K271" s="42">
        <f t="shared" si="11"/>
        <v>18923.71</v>
      </c>
      <c r="L271" s="42">
        <f t="shared" si="11"/>
        <v>3012339.1199999996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28927.759999999998</v>
      </c>
      <c r="G276" s="18">
        <v>1341.46</v>
      </c>
      <c r="H276" s="18">
        <v>0</v>
      </c>
      <c r="I276" s="18">
        <v>1319.11</v>
      </c>
      <c r="J276" s="18">
        <v>0</v>
      </c>
      <c r="K276" s="18">
        <v>7318.93</v>
      </c>
      <c r="L276" s="19">
        <f>SUM(F276:K276)</f>
        <v>38907.259999999995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3400</v>
      </c>
      <c r="G282" s="18">
        <v>734.24</v>
      </c>
      <c r="H282" s="18">
        <v>2949.33</v>
      </c>
      <c r="I282" s="18">
        <v>0</v>
      </c>
      <c r="J282" s="18">
        <v>0</v>
      </c>
      <c r="K282" s="18">
        <v>0</v>
      </c>
      <c r="L282" s="19">
        <f t="shared" si="12"/>
        <v>7083.57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258.92</v>
      </c>
      <c r="L283" s="19">
        <f t="shared" si="12"/>
        <v>258.92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32327.759999999998</v>
      </c>
      <c r="G290" s="42">
        <f t="shared" si="13"/>
        <v>2075.6999999999998</v>
      </c>
      <c r="H290" s="42">
        <f t="shared" si="13"/>
        <v>2949.33</v>
      </c>
      <c r="I290" s="42">
        <f t="shared" si="13"/>
        <v>1319.11</v>
      </c>
      <c r="J290" s="42">
        <f t="shared" si="13"/>
        <v>0</v>
      </c>
      <c r="K290" s="42">
        <f t="shared" si="13"/>
        <v>7577.85</v>
      </c>
      <c r="L290" s="41">
        <f t="shared" si="13"/>
        <v>46249.749999999993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32327.759999999998</v>
      </c>
      <c r="G338" s="41">
        <f t="shared" si="20"/>
        <v>2075.6999999999998</v>
      </c>
      <c r="H338" s="41">
        <f t="shared" si="20"/>
        <v>2949.33</v>
      </c>
      <c r="I338" s="41">
        <f t="shared" si="20"/>
        <v>1319.11</v>
      </c>
      <c r="J338" s="41">
        <f t="shared" si="20"/>
        <v>0</v>
      </c>
      <c r="K338" s="41">
        <f t="shared" si="20"/>
        <v>7577.85</v>
      </c>
      <c r="L338" s="41">
        <f t="shared" si="20"/>
        <v>46249.749999999993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32327.759999999998</v>
      </c>
      <c r="G352" s="41">
        <f>G338</f>
        <v>2075.6999999999998</v>
      </c>
      <c r="H352" s="41">
        <f>H338</f>
        <v>2949.33</v>
      </c>
      <c r="I352" s="41">
        <f>I338</f>
        <v>1319.11</v>
      </c>
      <c r="J352" s="41">
        <f>J338</f>
        <v>0</v>
      </c>
      <c r="K352" s="47">
        <f>K338+K351</f>
        <v>7577.85</v>
      </c>
      <c r="L352" s="41">
        <f>L338+L351</f>
        <v>46249.749999999993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7866.06</v>
      </c>
      <c r="G358" s="18">
        <v>601.78</v>
      </c>
      <c r="H358" s="18">
        <v>35348.400000000001</v>
      </c>
      <c r="I358" s="18">
        <v>265.98</v>
      </c>
      <c r="J358" s="18">
        <v>0</v>
      </c>
      <c r="K358" s="18">
        <v>0</v>
      </c>
      <c r="L358" s="13">
        <f>SUM(F358:K358)</f>
        <v>44082.220000000008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7866.06</v>
      </c>
      <c r="G362" s="47">
        <f t="shared" si="22"/>
        <v>601.78</v>
      </c>
      <c r="H362" s="47">
        <f t="shared" si="22"/>
        <v>35348.400000000001</v>
      </c>
      <c r="I362" s="47">
        <f t="shared" si="22"/>
        <v>265.98</v>
      </c>
      <c r="J362" s="47">
        <f t="shared" si="22"/>
        <v>0</v>
      </c>
      <c r="K362" s="47">
        <f t="shared" si="22"/>
        <v>0</v>
      </c>
      <c r="L362" s="47">
        <f t="shared" si="22"/>
        <v>44082.220000000008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210</v>
      </c>
      <c r="G367" s="18"/>
      <c r="H367" s="18"/>
      <c r="I367" s="56">
        <f>SUM(F367:H367)</f>
        <v>210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55.98</v>
      </c>
      <c r="G368" s="63"/>
      <c r="H368" s="63"/>
      <c r="I368" s="56">
        <f>SUM(F368:H368)</f>
        <v>55.98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265.98</v>
      </c>
      <c r="G369" s="47">
        <f>SUM(G367:G368)</f>
        <v>0</v>
      </c>
      <c r="H369" s="47">
        <f>SUM(H367:H368)</f>
        <v>0</v>
      </c>
      <c r="I369" s="47">
        <f>SUM(I367:I368)</f>
        <v>265.98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>
        <v>0</v>
      </c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0</v>
      </c>
      <c r="H396" s="18">
        <v>873.45</v>
      </c>
      <c r="I396" s="18"/>
      <c r="J396" s="24" t="s">
        <v>286</v>
      </c>
      <c r="K396" s="24" t="s">
        <v>286</v>
      </c>
      <c r="L396" s="56">
        <f t="shared" si="26"/>
        <v>873.45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520.44000000000005</v>
      </c>
      <c r="I398" s="18"/>
      <c r="J398" s="24" t="s">
        <v>286</v>
      </c>
      <c r="K398" s="24" t="s">
        <v>286</v>
      </c>
      <c r="L398" s="56">
        <f t="shared" si="26"/>
        <v>520.44000000000005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1393.89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1393.89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1393.89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1393.89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>
        <v>321000</v>
      </c>
      <c r="L415" s="56">
        <f t="shared" si="27"/>
        <v>321000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321000</v>
      </c>
      <c r="L419" s="47">
        <f t="shared" si="28"/>
        <v>321000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0</v>
      </c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321000</v>
      </c>
      <c r="L434" s="47">
        <f t="shared" si="32"/>
        <v>321000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118192.04</v>
      </c>
      <c r="H439" s="18"/>
      <c r="I439" s="56">
        <f t="shared" ref="I439:I445" si="33">SUM(F439:H439)</f>
        <v>118192.04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118192.04</v>
      </c>
      <c r="H446" s="13">
        <f>SUM(H439:H445)</f>
        <v>0</v>
      </c>
      <c r="I446" s="13">
        <f>SUM(I439:I445)</f>
        <v>118192.04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118192.04</v>
      </c>
      <c r="H459" s="18"/>
      <c r="I459" s="56">
        <f t="shared" si="34"/>
        <v>118192.04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118192.04</v>
      </c>
      <c r="H460" s="83">
        <f>SUM(H454:H459)</f>
        <v>0</v>
      </c>
      <c r="I460" s="83">
        <f>SUM(I454:I459)</f>
        <v>118192.04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118192.04</v>
      </c>
      <c r="H461" s="42">
        <f>H452+H460</f>
        <v>0</v>
      </c>
      <c r="I461" s="42">
        <f>I452+I460</f>
        <v>118192.04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227196.17</v>
      </c>
      <c r="G465" s="18">
        <v>0</v>
      </c>
      <c r="H465" s="18">
        <v>374</v>
      </c>
      <c r="I465" s="18">
        <v>0</v>
      </c>
      <c r="J465" s="18">
        <v>437798.15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3127497.33</v>
      </c>
      <c r="G468" s="18">
        <v>44082.22</v>
      </c>
      <c r="H468" s="18">
        <v>46154.75</v>
      </c>
      <c r="I468" s="18">
        <v>0</v>
      </c>
      <c r="J468" s="18">
        <v>1393.89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20.18</v>
      </c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3127517.5100000002</v>
      </c>
      <c r="G470" s="53">
        <f>SUM(G468:G469)</f>
        <v>44082.22</v>
      </c>
      <c r="H470" s="53">
        <f>SUM(H468:H469)</f>
        <v>46154.75</v>
      </c>
      <c r="I470" s="53">
        <f>SUM(I468:I469)</f>
        <v>0</v>
      </c>
      <c r="J470" s="53">
        <f>SUM(J468:J469)</f>
        <v>1393.89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3012339.12</v>
      </c>
      <c r="G472" s="18">
        <v>44082.22</v>
      </c>
      <c r="H472" s="18">
        <v>46249.75</v>
      </c>
      <c r="I472" s="18">
        <v>0</v>
      </c>
      <c r="J472" s="18">
        <v>321000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f>9193.74+582.28</f>
        <v>9776.02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3022115.14</v>
      </c>
      <c r="G474" s="53">
        <f>SUM(G472:G473)</f>
        <v>44082.22</v>
      </c>
      <c r="H474" s="53">
        <f>SUM(H472:H473)</f>
        <v>46249.75</v>
      </c>
      <c r="I474" s="53">
        <f>SUM(I472:I473)</f>
        <v>0</v>
      </c>
      <c r="J474" s="53">
        <f>SUM(J472:J473)</f>
        <v>321000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332598.54000000004</v>
      </c>
      <c r="G476" s="53">
        <f>(G465+G470)- G474</f>
        <v>0</v>
      </c>
      <c r="H476" s="53">
        <f>(H465+H470)- H474</f>
        <v>279</v>
      </c>
      <c r="I476" s="53">
        <f>(I465+I470)- I474</f>
        <v>0</v>
      </c>
      <c r="J476" s="53">
        <f>(J465+J470)- J474</f>
        <v>118192.04000000004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128592.4</v>
      </c>
      <c r="G521" s="18">
        <v>19307.75</v>
      </c>
      <c r="H521" s="18">
        <v>15982.74</v>
      </c>
      <c r="I521" s="18">
        <v>1830.42</v>
      </c>
      <c r="J521" s="18">
        <v>0</v>
      </c>
      <c r="K521" s="18">
        <v>2137.7800000000002</v>
      </c>
      <c r="L521" s="88">
        <f>SUM(F521:K521)</f>
        <v>167851.09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0</v>
      </c>
      <c r="G522" s="18">
        <v>0</v>
      </c>
      <c r="H522" s="18">
        <v>255272.08</v>
      </c>
      <c r="I522" s="18">
        <v>0</v>
      </c>
      <c r="J522" s="18"/>
      <c r="K522" s="18">
        <v>0</v>
      </c>
      <c r="L522" s="88">
        <f>SUM(F522:K522)</f>
        <v>255272.08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0</v>
      </c>
      <c r="G523" s="18">
        <v>0</v>
      </c>
      <c r="H523" s="18">
        <v>92139.3</v>
      </c>
      <c r="I523" s="18">
        <v>0</v>
      </c>
      <c r="J523" s="18">
        <v>0</v>
      </c>
      <c r="K523" s="18">
        <v>0</v>
      </c>
      <c r="L523" s="88">
        <f>SUM(F523:K523)</f>
        <v>92139.3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128592.4</v>
      </c>
      <c r="G524" s="108">
        <f t="shared" ref="G524:L524" si="36">SUM(G521:G523)</f>
        <v>19307.75</v>
      </c>
      <c r="H524" s="108">
        <f t="shared" si="36"/>
        <v>363394.12</v>
      </c>
      <c r="I524" s="108">
        <f t="shared" si="36"/>
        <v>1830.42</v>
      </c>
      <c r="J524" s="108">
        <f t="shared" si="36"/>
        <v>0</v>
      </c>
      <c r="K524" s="108">
        <f t="shared" si="36"/>
        <v>2137.7800000000002</v>
      </c>
      <c r="L524" s="89">
        <f t="shared" si="36"/>
        <v>515262.47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0</v>
      </c>
      <c r="G526" s="18">
        <v>0</v>
      </c>
      <c r="H526" s="18">
        <v>61618</v>
      </c>
      <c r="I526" s="18">
        <v>875.14</v>
      </c>
      <c r="J526" s="18">
        <v>0</v>
      </c>
      <c r="K526" s="18">
        <v>0</v>
      </c>
      <c r="L526" s="88">
        <f>SUM(F526:K526)</f>
        <v>62493.14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61618</v>
      </c>
      <c r="I529" s="89">
        <f t="shared" si="37"/>
        <v>875.14</v>
      </c>
      <c r="J529" s="89">
        <f t="shared" si="37"/>
        <v>0</v>
      </c>
      <c r="K529" s="89">
        <f t="shared" si="37"/>
        <v>0</v>
      </c>
      <c r="L529" s="89">
        <f t="shared" si="37"/>
        <v>62493.14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11713.04</v>
      </c>
      <c r="G531" s="18">
        <v>2643.24</v>
      </c>
      <c r="H531" s="18"/>
      <c r="I531" s="18"/>
      <c r="J531" s="18"/>
      <c r="K531" s="18">
        <v>103.1</v>
      </c>
      <c r="L531" s="88">
        <f>SUM(F531:K531)</f>
        <v>14459.380000000001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11713.04</v>
      </c>
      <c r="G534" s="89">
        <f t="shared" ref="G534:L534" si="38">SUM(G531:G533)</f>
        <v>2643.24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103.1</v>
      </c>
      <c r="L534" s="89">
        <f t="shared" si="38"/>
        <v>14459.380000000001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342.26</v>
      </c>
      <c r="I536" s="18"/>
      <c r="J536" s="18"/>
      <c r="K536" s="18"/>
      <c r="L536" s="88">
        <f>SUM(F536:K536)</f>
        <v>342.26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122.34</v>
      </c>
      <c r="I537" s="18"/>
      <c r="J537" s="18"/>
      <c r="K537" s="18"/>
      <c r="L537" s="88">
        <f>SUM(F537:K537)</f>
        <v>122.34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167.3</v>
      </c>
      <c r="I538" s="18"/>
      <c r="J538" s="18"/>
      <c r="K538" s="18"/>
      <c r="L538" s="88">
        <f>SUM(F538:K538)</f>
        <v>167.3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631.90000000000009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631.90000000000009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7450</v>
      </c>
      <c r="I541" s="18"/>
      <c r="J541" s="18"/>
      <c r="K541" s="18"/>
      <c r="L541" s="88">
        <f>SUM(F541:K541)</f>
        <v>7450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5971.54</v>
      </c>
      <c r="I542" s="18"/>
      <c r="J542" s="18"/>
      <c r="K542" s="18"/>
      <c r="L542" s="88">
        <f>SUM(F542:K542)</f>
        <v>5971.54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12425</v>
      </c>
      <c r="I543" s="18"/>
      <c r="J543" s="18"/>
      <c r="K543" s="18"/>
      <c r="L543" s="88">
        <f>SUM(F543:K543)</f>
        <v>12425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25846.54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25846.54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140305.44</v>
      </c>
      <c r="G545" s="89">
        <f t="shared" ref="G545:L545" si="41">G524+G529+G534+G539+G544</f>
        <v>21950.989999999998</v>
      </c>
      <c r="H545" s="89">
        <f t="shared" si="41"/>
        <v>451490.56</v>
      </c>
      <c r="I545" s="89">
        <f t="shared" si="41"/>
        <v>2705.56</v>
      </c>
      <c r="J545" s="89">
        <f t="shared" si="41"/>
        <v>0</v>
      </c>
      <c r="K545" s="89">
        <f t="shared" si="41"/>
        <v>2240.88</v>
      </c>
      <c r="L545" s="89">
        <f t="shared" si="41"/>
        <v>618693.43000000005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167851.09</v>
      </c>
      <c r="G549" s="87">
        <f>L526</f>
        <v>62493.14</v>
      </c>
      <c r="H549" s="87">
        <f>L531</f>
        <v>14459.380000000001</v>
      </c>
      <c r="I549" s="87">
        <f>L536</f>
        <v>342.26</v>
      </c>
      <c r="J549" s="87">
        <f>L541</f>
        <v>7450</v>
      </c>
      <c r="K549" s="87">
        <f>SUM(F549:J549)</f>
        <v>252595.87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255272.08</v>
      </c>
      <c r="G550" s="87">
        <f>L527</f>
        <v>0</v>
      </c>
      <c r="H550" s="87">
        <f>L532</f>
        <v>0</v>
      </c>
      <c r="I550" s="87">
        <f>L537</f>
        <v>122.34</v>
      </c>
      <c r="J550" s="87">
        <f>L542</f>
        <v>5971.54</v>
      </c>
      <c r="K550" s="87">
        <f>SUM(F550:J550)</f>
        <v>261365.96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92139.3</v>
      </c>
      <c r="G551" s="87">
        <f>L528</f>
        <v>0</v>
      </c>
      <c r="H551" s="87">
        <f>L533</f>
        <v>0</v>
      </c>
      <c r="I551" s="87">
        <f>L538</f>
        <v>167.3</v>
      </c>
      <c r="J551" s="87">
        <f>L543</f>
        <v>12425</v>
      </c>
      <c r="K551" s="87">
        <f>SUM(F551:J551)</f>
        <v>104731.6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515262.47</v>
      </c>
      <c r="G552" s="89">
        <f t="shared" si="42"/>
        <v>62493.14</v>
      </c>
      <c r="H552" s="89">
        <f t="shared" si="42"/>
        <v>14459.380000000001</v>
      </c>
      <c r="I552" s="89">
        <f t="shared" si="42"/>
        <v>631.90000000000009</v>
      </c>
      <c r="J552" s="89">
        <f t="shared" si="42"/>
        <v>25846.54</v>
      </c>
      <c r="K552" s="89">
        <f t="shared" si="42"/>
        <v>618693.42999999993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/>
      <c r="K563" s="18">
        <v>0</v>
      </c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20181.36</v>
      </c>
      <c r="G575" s="18">
        <v>375939.47</v>
      </c>
      <c r="H575" s="18">
        <v>447874.06</v>
      </c>
      <c r="I575" s="87">
        <f>SUM(F575:H575)</f>
        <v>843994.8899999999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0</v>
      </c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3479</v>
      </c>
      <c r="G579" s="18">
        <v>255272.08</v>
      </c>
      <c r="H579" s="18">
        <v>33705.120000000003</v>
      </c>
      <c r="I579" s="87">
        <f t="shared" si="47"/>
        <v>292456.2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0</v>
      </c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0</v>
      </c>
      <c r="G582" s="18">
        <v>0</v>
      </c>
      <c r="H582" s="18">
        <v>58434.18</v>
      </c>
      <c r="I582" s="87">
        <f t="shared" si="47"/>
        <v>58434.18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37330.33</v>
      </c>
      <c r="I591" s="18">
        <v>17613.080000000002</v>
      </c>
      <c r="J591" s="18">
        <v>22990.45</v>
      </c>
      <c r="K591" s="104">
        <f t="shared" ref="K591:K597" si="48">SUM(H591:J591)</f>
        <v>77933.86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7450</v>
      </c>
      <c r="I592" s="18">
        <v>5971.54</v>
      </c>
      <c r="J592" s="18">
        <v>12425</v>
      </c>
      <c r="K592" s="104">
        <f t="shared" si="48"/>
        <v>25846.54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265</v>
      </c>
      <c r="I595" s="18">
        <v>0</v>
      </c>
      <c r="J595" s="18">
        <v>0</v>
      </c>
      <c r="K595" s="104">
        <f t="shared" si="48"/>
        <v>265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45045.33</v>
      </c>
      <c r="I598" s="108">
        <f>SUM(I591:I597)</f>
        <v>23584.620000000003</v>
      </c>
      <c r="J598" s="108">
        <f>SUM(J591:J597)</f>
        <v>35415.449999999997</v>
      </c>
      <c r="K598" s="108">
        <f>SUM(K591:K597)</f>
        <v>104045.4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40879.129999999997</v>
      </c>
      <c r="I604" s="18">
        <v>0</v>
      </c>
      <c r="J604" s="18">
        <v>0</v>
      </c>
      <c r="K604" s="104">
        <f>SUM(H604:J604)</f>
        <v>40879.129999999997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40879.129999999997</v>
      </c>
      <c r="I605" s="108">
        <f>SUM(I602:I604)</f>
        <v>0</v>
      </c>
      <c r="J605" s="108">
        <f>SUM(J602:J604)</f>
        <v>0</v>
      </c>
      <c r="K605" s="108">
        <f>SUM(K602:K604)</f>
        <v>40879.129999999997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50</v>
      </c>
      <c r="G611" s="18">
        <v>3.83</v>
      </c>
      <c r="H611" s="18">
        <v>0</v>
      </c>
      <c r="I611" s="18"/>
      <c r="J611" s="18"/>
      <c r="K611" s="18"/>
      <c r="L611" s="88">
        <f>SUM(F611:K611)</f>
        <v>53.83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>
        <v>0</v>
      </c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50</v>
      </c>
      <c r="G614" s="108">
        <f t="shared" si="49"/>
        <v>3.83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53.83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389234.36000000004</v>
      </c>
      <c r="H617" s="109">
        <f>SUM(F52)</f>
        <v>389234.36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-4.5474735088646412E-13</v>
      </c>
      <c r="H618" s="109">
        <f>SUM(G52)</f>
        <v>0</v>
      </c>
      <c r="I618" s="121" t="s">
        <v>886</v>
      </c>
      <c r="J618" s="109">
        <f>G618-H618</f>
        <v>-4.5474735088646412E-13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279</v>
      </c>
      <c r="H619" s="109">
        <f>SUM(H52)</f>
        <v>279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118192.04</v>
      </c>
      <c r="H621" s="109">
        <f>SUM(J52)</f>
        <v>118192.04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332598.53999999998</v>
      </c>
      <c r="H622" s="109">
        <f>F476</f>
        <v>332598.54000000004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279</v>
      </c>
      <c r="H624" s="109">
        <f>H476</f>
        <v>279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118192.04</v>
      </c>
      <c r="H626" s="109">
        <f>J476</f>
        <v>118192.04000000004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3127497.3300000005</v>
      </c>
      <c r="H627" s="104">
        <f>SUM(F468)</f>
        <v>3127497.33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44082.22</v>
      </c>
      <c r="H628" s="104">
        <f>SUM(G468)</f>
        <v>44082.22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46154.75</v>
      </c>
      <c r="H629" s="104">
        <f>SUM(H468)</f>
        <v>46154.75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1393.89</v>
      </c>
      <c r="H631" s="104">
        <f>SUM(J468)</f>
        <v>1393.89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3012339.1199999996</v>
      </c>
      <c r="H632" s="104">
        <f>SUM(F472)</f>
        <v>3012339.12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46249.749999999993</v>
      </c>
      <c r="H633" s="104">
        <f>SUM(H472)</f>
        <v>46249.75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265.98</v>
      </c>
      <c r="H634" s="104">
        <f>I369</f>
        <v>265.98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44082.220000000008</v>
      </c>
      <c r="H635" s="104">
        <f>SUM(G472)</f>
        <v>44082.22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1393.89</v>
      </c>
      <c r="H637" s="164">
        <f>SUM(J468)</f>
        <v>1393.89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321000</v>
      </c>
      <c r="H638" s="164">
        <f>SUM(J472)</f>
        <v>321000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118192.04</v>
      </c>
      <c r="H640" s="104">
        <f>SUM(G461)</f>
        <v>118192.04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118192.04</v>
      </c>
      <c r="H642" s="104">
        <f>SUM(I461)</f>
        <v>118192.04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1393.89</v>
      </c>
      <c r="H644" s="104">
        <f>H408</f>
        <v>1393.89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1393.89</v>
      </c>
      <c r="H646" s="104">
        <f>L408</f>
        <v>1393.89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104045.4</v>
      </c>
      <c r="H647" s="104">
        <f>L208+L226+L244</f>
        <v>104045.4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40879.129999999997</v>
      </c>
      <c r="H648" s="104">
        <f>(J257+J338)-(J255+J336)</f>
        <v>40879.130000000005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45045.33</v>
      </c>
      <c r="H649" s="104">
        <f>H598</f>
        <v>45045.33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23584.62</v>
      </c>
      <c r="H650" s="104">
        <f>I598</f>
        <v>23584.620000000003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35415.449999999997</v>
      </c>
      <c r="H651" s="104">
        <f>J598</f>
        <v>35415.449999999997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1308859.52</v>
      </c>
      <c r="G660" s="19">
        <f>(L229+L309+L359)</f>
        <v>693972.36999999988</v>
      </c>
      <c r="H660" s="19">
        <f>(L247+L328+L360)</f>
        <v>614114.72</v>
      </c>
      <c r="I660" s="19">
        <f>SUM(F660:H660)</f>
        <v>2616946.61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18903.990000000002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18903.990000000002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45045.33</v>
      </c>
      <c r="G662" s="19">
        <f>(L226+L306)-(J226+J306)</f>
        <v>23584.62</v>
      </c>
      <c r="H662" s="19">
        <f>(L244+L325)-(J244+J325)</f>
        <v>35415.449999999997</v>
      </c>
      <c r="I662" s="19">
        <f>SUM(F662:H662)</f>
        <v>104045.4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64593.32</v>
      </c>
      <c r="G663" s="199">
        <f>SUM(G575:G587)+SUM(I602:I604)+L612</f>
        <v>631211.54999999993</v>
      </c>
      <c r="H663" s="199">
        <f>SUM(H575:H587)+SUM(J602:J604)+L613</f>
        <v>540013.36</v>
      </c>
      <c r="I663" s="19">
        <f>SUM(F663:H663)</f>
        <v>1235818.23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1180316.8799999999</v>
      </c>
      <c r="G664" s="19">
        <f>G660-SUM(G661:G663)</f>
        <v>39176.199999999953</v>
      </c>
      <c r="H664" s="19">
        <f>H660-SUM(H661:H663)</f>
        <v>38685.910000000033</v>
      </c>
      <c r="I664" s="19">
        <f>I660-SUM(I661:I663)</f>
        <v>1258178.99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70.91</v>
      </c>
      <c r="G665" s="248"/>
      <c r="H665" s="248"/>
      <c r="I665" s="19">
        <f>SUM(F665:H665)</f>
        <v>70.91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16645.28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17743.32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-39176.199999999997</v>
      </c>
      <c r="H669" s="18">
        <v>-38685.910000000003</v>
      </c>
      <c r="I669" s="19">
        <f>SUM(F669:H669)</f>
        <v>-77862.11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16645.28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16645.28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45" bottom="0.56000000000000005" header="0.3" footer="0.33"/>
  <pageSetup scale="8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STODDARD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274894.90999999997</v>
      </c>
      <c r="C9" s="229">
        <f>'DOE25'!G197+'DOE25'!G215+'DOE25'!G233+'DOE25'!G276+'DOE25'!G295+'DOE25'!G314</f>
        <v>81567.460000000006</v>
      </c>
    </row>
    <row r="10" spans="1:3" x14ac:dyDescent="0.2">
      <c r="A10" t="s">
        <v>773</v>
      </c>
      <c r="B10" s="240">
        <v>192785.41</v>
      </c>
      <c r="C10" s="240">
        <v>75516.289999999994</v>
      </c>
    </row>
    <row r="11" spans="1:3" x14ac:dyDescent="0.2">
      <c r="A11" t="s">
        <v>774</v>
      </c>
      <c r="B11" s="240">
        <v>66614.179999999993</v>
      </c>
      <c r="C11" s="240">
        <v>4865.72</v>
      </c>
    </row>
    <row r="12" spans="1:3" x14ac:dyDescent="0.2">
      <c r="A12" t="s">
        <v>775</v>
      </c>
      <c r="B12" s="240">
        <v>15495.32</v>
      </c>
      <c r="C12" s="240">
        <v>1185.45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274894.90999999997</v>
      </c>
      <c r="C13" s="231">
        <f>SUM(C10:C12)</f>
        <v>81567.459999999992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128592.4</v>
      </c>
      <c r="C18" s="229">
        <f>'DOE25'!G198+'DOE25'!G216+'DOE25'!G234+'DOE25'!G277+'DOE25'!G296+'DOE25'!G315</f>
        <v>19307.75</v>
      </c>
    </row>
    <row r="19" spans="1:3" x14ac:dyDescent="0.2">
      <c r="A19" t="s">
        <v>773</v>
      </c>
      <c r="B19" s="240">
        <v>77125</v>
      </c>
      <c r="C19" s="240">
        <v>15370.52</v>
      </c>
    </row>
    <row r="20" spans="1:3" x14ac:dyDescent="0.2">
      <c r="A20" t="s">
        <v>774</v>
      </c>
      <c r="B20" s="240">
        <v>51467.4</v>
      </c>
      <c r="C20" s="240">
        <v>3937.23</v>
      </c>
    </row>
    <row r="21" spans="1:3" x14ac:dyDescent="0.2">
      <c r="A21" t="s">
        <v>775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128592.4</v>
      </c>
      <c r="C22" s="231">
        <f>SUM(C19:C21)</f>
        <v>19307.75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STODDARD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1724769.2799999998</v>
      </c>
      <c r="D5" s="20">
        <f>SUM('DOE25'!L197:L200)+SUM('DOE25'!L215:L218)+SUM('DOE25'!L233:L236)-F5-G5</f>
        <v>1715253.9799999997</v>
      </c>
      <c r="E5" s="243"/>
      <c r="F5" s="255">
        <f>SUM('DOE25'!J197:J200)+SUM('DOE25'!J215:J218)+SUM('DOE25'!J233:J236)</f>
        <v>4377.5200000000004</v>
      </c>
      <c r="G5" s="53">
        <f>SUM('DOE25'!K197:K200)+SUM('DOE25'!K215:K218)+SUM('DOE25'!K233:K236)</f>
        <v>5137.7800000000007</v>
      </c>
      <c r="H5" s="259"/>
    </row>
    <row r="6" spans="1:9" x14ac:dyDescent="0.2">
      <c r="A6" s="32">
        <v>2100</v>
      </c>
      <c r="B6" t="s">
        <v>795</v>
      </c>
      <c r="C6" s="245">
        <f t="shared" si="0"/>
        <v>90015.360000000001</v>
      </c>
      <c r="D6" s="20">
        <f>'DOE25'!L202+'DOE25'!L220+'DOE25'!L238-F6-G6</f>
        <v>90015.360000000001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43842.33</v>
      </c>
      <c r="D7" s="20">
        <f>'DOE25'!L203+'DOE25'!L221+'DOE25'!L239-F7-G7</f>
        <v>23946.720000000001</v>
      </c>
      <c r="E7" s="243"/>
      <c r="F7" s="255">
        <f>'DOE25'!J203+'DOE25'!J221+'DOE25'!J239</f>
        <v>19895.61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99388.19</v>
      </c>
      <c r="D8" s="243"/>
      <c r="E8" s="20">
        <f>'DOE25'!L204+'DOE25'!L222+'DOE25'!L240-F8-G8-D9-D11</f>
        <v>86382.260000000009</v>
      </c>
      <c r="F8" s="255">
        <f>'DOE25'!J204+'DOE25'!J222+'DOE25'!J240</f>
        <v>0</v>
      </c>
      <c r="G8" s="53">
        <f>'DOE25'!K204+'DOE25'!K222+'DOE25'!K240</f>
        <v>13005.93</v>
      </c>
      <c r="H8" s="259"/>
    </row>
    <row r="9" spans="1:9" x14ac:dyDescent="0.2">
      <c r="A9" s="32">
        <v>2310</v>
      </c>
      <c r="B9" t="s">
        <v>812</v>
      </c>
      <c r="C9" s="245">
        <f t="shared" si="0"/>
        <v>25456.52</v>
      </c>
      <c r="D9" s="244">
        <v>25456.52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6225</v>
      </c>
      <c r="D10" s="243"/>
      <c r="E10" s="244">
        <v>6225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45962.82</v>
      </c>
      <c r="D11" s="244">
        <v>45962.82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159614.44999999998</v>
      </c>
      <c r="D12" s="20">
        <f>'DOE25'!L205+'DOE25'!L223+'DOE25'!L241-F12-G12</f>
        <v>158834.44999999998</v>
      </c>
      <c r="E12" s="243"/>
      <c r="F12" s="255">
        <f>'DOE25'!J205+'DOE25'!J223+'DOE25'!J241</f>
        <v>0</v>
      </c>
      <c r="G12" s="53">
        <f>'DOE25'!K205+'DOE25'!K223+'DOE25'!K241</f>
        <v>780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233520.29</v>
      </c>
      <c r="D14" s="20">
        <f>'DOE25'!L207+'DOE25'!L225+'DOE25'!L243-F14-G14</f>
        <v>216914.29</v>
      </c>
      <c r="E14" s="243"/>
      <c r="F14" s="255">
        <f>'DOE25'!J207+'DOE25'!J225+'DOE25'!J243</f>
        <v>16606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104045.4</v>
      </c>
      <c r="D15" s="20">
        <f>'DOE25'!L208+'DOE25'!L226+'DOE25'!L244-F15-G15</f>
        <v>104045.4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485724.48</v>
      </c>
      <c r="D22" s="243"/>
      <c r="E22" s="243"/>
      <c r="F22" s="255">
        <f>'DOE25'!L255+'DOE25'!L336</f>
        <v>485724.48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43872.220000000008</v>
      </c>
      <c r="D29" s="20">
        <f>'DOE25'!L358+'DOE25'!L359+'DOE25'!L360-'DOE25'!I367-F29-G29</f>
        <v>43872.220000000008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46249.749999999993</v>
      </c>
      <c r="D31" s="20">
        <f>'DOE25'!L290+'DOE25'!L309+'DOE25'!L328+'DOE25'!L333+'DOE25'!L334+'DOE25'!L335-F31-G31</f>
        <v>38671.899999999994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7577.85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2462973.6599999997</v>
      </c>
      <c r="E33" s="246">
        <f>SUM(E5:E31)</f>
        <v>92607.260000000009</v>
      </c>
      <c r="F33" s="246">
        <f>SUM(F5:F31)</f>
        <v>526603.61</v>
      </c>
      <c r="G33" s="246">
        <f>SUM(G5:G31)</f>
        <v>26501.559999999998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92607.260000000009</v>
      </c>
      <c r="E35" s="249"/>
    </row>
    <row r="36" spans="2:8" ht="12" thickTop="1" x14ac:dyDescent="0.2">
      <c r="B36" t="s">
        <v>809</v>
      </c>
      <c r="D36" s="20">
        <f>D33</f>
        <v>2462973.6599999997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9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STODDARD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368185.94</v>
      </c>
      <c r="D8" s="95">
        <f>'DOE25'!G9</f>
        <v>-10002.93</v>
      </c>
      <c r="E8" s="95">
        <f>'DOE25'!H9</f>
        <v>-4715.58</v>
      </c>
      <c r="F8" s="95">
        <f>'DOE25'!I9</f>
        <v>0</v>
      </c>
      <c r="G8" s="95">
        <f>'DOE25'!J9</f>
        <v>118192.04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9193.74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20839.34</v>
      </c>
      <c r="D12" s="95">
        <f>'DOE25'!G13</f>
        <v>809.19</v>
      </c>
      <c r="E12" s="95">
        <f>'DOE25'!H13</f>
        <v>4994.58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209.08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389234.36000000004</v>
      </c>
      <c r="D18" s="41">
        <f>SUM(D8:D17)</f>
        <v>-4.5474735088646412E-13</v>
      </c>
      <c r="E18" s="41">
        <f>SUM(E8:E17)</f>
        <v>279</v>
      </c>
      <c r="F18" s="41">
        <f>SUM(F8:F17)</f>
        <v>0</v>
      </c>
      <c r="G18" s="41">
        <f>SUM(G8:G17)</f>
        <v>118192.04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9193.74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21640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22135.8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582.28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3084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56635.819999999992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279</v>
      </c>
      <c r="F47" s="95">
        <f>'DOE25'!I48</f>
        <v>0</v>
      </c>
      <c r="G47" s="95">
        <f>'DOE25'!J48</f>
        <v>118192.04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277598.53999999998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332598.53999999998</v>
      </c>
      <c r="D50" s="41">
        <f>SUM(D34:D49)</f>
        <v>0</v>
      </c>
      <c r="E50" s="41">
        <f>SUM(E34:E49)</f>
        <v>279</v>
      </c>
      <c r="F50" s="41">
        <f>SUM(F34:F49)</f>
        <v>0</v>
      </c>
      <c r="G50" s="41">
        <f>SUM(G34:G49)</f>
        <v>118192.04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389234.36</v>
      </c>
      <c r="D51" s="41">
        <f>D50+D31</f>
        <v>0</v>
      </c>
      <c r="E51" s="41">
        <f>E50+E31</f>
        <v>279</v>
      </c>
      <c r="F51" s="41">
        <f>F50+F31</f>
        <v>0</v>
      </c>
      <c r="G51" s="41">
        <f>G50+G31</f>
        <v>118192.04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2037844</v>
      </c>
      <c r="D56" s="95">
        <f>'DOE25'!G60</f>
        <v>13500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2829.07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1393.89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18903.990000000002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6590.79</v>
      </c>
      <c r="D61" s="95">
        <f>SUM('DOE25'!G98:G110)</f>
        <v>0</v>
      </c>
      <c r="E61" s="95">
        <f>SUM('DOE25'!H98:H110)</f>
        <v>31333.4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9419.86</v>
      </c>
      <c r="D62" s="130">
        <f>SUM(D57:D61)</f>
        <v>18903.990000000002</v>
      </c>
      <c r="E62" s="130">
        <f>SUM(E57:E61)</f>
        <v>31333.4</v>
      </c>
      <c r="F62" s="130">
        <f>SUM(F57:F61)</f>
        <v>0</v>
      </c>
      <c r="G62" s="130">
        <f>SUM(G57:G61)</f>
        <v>1393.89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2047263.86</v>
      </c>
      <c r="D63" s="22">
        <f>D56+D62</f>
        <v>32403.99</v>
      </c>
      <c r="E63" s="22">
        <f>E56+E62</f>
        <v>31333.4</v>
      </c>
      <c r="F63" s="22">
        <f>F56+F62</f>
        <v>0</v>
      </c>
      <c r="G63" s="22">
        <f>G56+G62</f>
        <v>1393.89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122506.33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546877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1393.54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670776.87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65892.67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445.62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65892.67</v>
      </c>
      <c r="D78" s="130">
        <f>SUM(D72:D77)</f>
        <v>445.62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736669.54</v>
      </c>
      <c r="D81" s="130">
        <f>SUM(D79:D80)+D78+D70</f>
        <v>445.62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22563.93</v>
      </c>
      <c r="D88" s="95">
        <f>SUM('DOE25'!G153:G161)</f>
        <v>11232.61</v>
      </c>
      <c r="E88" s="95">
        <f>SUM('DOE25'!H153:H161)</f>
        <v>14821.35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22563.93</v>
      </c>
      <c r="D91" s="131">
        <f>SUM(D85:D90)</f>
        <v>11232.61</v>
      </c>
      <c r="E91" s="131">
        <f>SUM(E85:E90)</f>
        <v>14821.35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321000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321000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3127497.3300000005</v>
      </c>
      <c r="D104" s="86">
        <f>D63+D81+D91+D103</f>
        <v>44082.22</v>
      </c>
      <c r="E104" s="86">
        <f>E63+E81+E91+E103</f>
        <v>46154.75</v>
      </c>
      <c r="F104" s="86">
        <f>F63+F81+F91+F103</f>
        <v>0</v>
      </c>
      <c r="G104" s="86">
        <f>G63+G81+G103</f>
        <v>1393.89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1208691.2</v>
      </c>
      <c r="D109" s="24" t="s">
        <v>286</v>
      </c>
      <c r="E109" s="95">
        <f>('DOE25'!L276)+('DOE25'!L295)+('DOE25'!L314)</f>
        <v>38907.259999999995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515262.47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815.61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1724769.28</v>
      </c>
      <c r="D115" s="86">
        <f>SUM(D109:D114)</f>
        <v>0</v>
      </c>
      <c r="E115" s="86">
        <f>SUM(E109:E114)</f>
        <v>38907.259999999995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90015.360000000001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43842.33</v>
      </c>
      <c r="D119" s="24" t="s">
        <v>286</v>
      </c>
      <c r="E119" s="95">
        <f>+('DOE25'!L282)+('DOE25'!L301)+('DOE25'!L320)</f>
        <v>7083.57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170807.53</v>
      </c>
      <c r="D120" s="24" t="s">
        <v>286</v>
      </c>
      <c r="E120" s="95">
        <f>+('DOE25'!L283)+('DOE25'!L302)+('DOE25'!L321)</f>
        <v>258.92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159614.44999999998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233520.29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104045.4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44082.220000000008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801845.36</v>
      </c>
      <c r="D128" s="86">
        <f>SUM(D118:D127)</f>
        <v>44082.220000000008</v>
      </c>
      <c r="E128" s="86">
        <f>SUM(E118:E127)</f>
        <v>7342.49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485724.48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321000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1393.89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-1393.89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485724.48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321000</v>
      </c>
    </row>
    <row r="145" spans="1:9" ht="12.75" thickTop="1" thickBot="1" x14ac:dyDescent="0.25">
      <c r="A145" s="33" t="s">
        <v>244</v>
      </c>
      <c r="C145" s="86">
        <f>(C115+C128+C144)</f>
        <v>3012339.12</v>
      </c>
      <c r="D145" s="86">
        <f>(D115+D128+D144)</f>
        <v>44082.220000000008</v>
      </c>
      <c r="E145" s="86">
        <f>(E115+E128+E144)</f>
        <v>46249.749999999993</v>
      </c>
      <c r="F145" s="86">
        <f>(F115+F128+F144)</f>
        <v>0</v>
      </c>
      <c r="G145" s="86">
        <f>(G115+G128+G144)</f>
        <v>321000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2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STODDARD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16645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16645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1247598</v>
      </c>
      <c r="D10" s="182">
        <f>ROUND((C10/$C$28)*100,1)</f>
        <v>48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515262</v>
      </c>
      <c r="D11" s="182">
        <f>ROUND((C11/$C$28)*100,1)</f>
        <v>19.8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816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90015</v>
      </c>
      <c r="D15" s="182">
        <f t="shared" ref="D15:D27" si="0">ROUND((C15/$C$28)*100,1)</f>
        <v>3.5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50926</v>
      </c>
      <c r="D16" s="182">
        <f t="shared" si="0"/>
        <v>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171066</v>
      </c>
      <c r="D17" s="182">
        <f t="shared" si="0"/>
        <v>6.6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159614</v>
      </c>
      <c r="D18" s="182">
        <f t="shared" si="0"/>
        <v>6.1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233520</v>
      </c>
      <c r="D20" s="182">
        <f t="shared" si="0"/>
        <v>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104045</v>
      </c>
      <c r="D21" s="182">
        <f t="shared" si="0"/>
        <v>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25178.01</v>
      </c>
      <c r="D27" s="182">
        <f t="shared" si="0"/>
        <v>1</v>
      </c>
    </row>
    <row r="28" spans="1:4" x14ac:dyDescent="0.2">
      <c r="B28" s="187" t="s">
        <v>717</v>
      </c>
      <c r="C28" s="180">
        <f>SUM(C10:C27)</f>
        <v>2598040.0099999998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485724</v>
      </c>
    </row>
    <row r="30" spans="1:4" x14ac:dyDescent="0.2">
      <c r="B30" s="187" t="s">
        <v>723</v>
      </c>
      <c r="C30" s="180">
        <f>SUM(C28:C29)</f>
        <v>3083764.01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2051344</v>
      </c>
      <c r="D35" s="182">
        <f t="shared" ref="D35:D40" si="1">ROUND((C35/$C$41)*100,1)</f>
        <v>71.2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42147.15000000014</v>
      </c>
      <c r="D36" s="182">
        <f t="shared" si="1"/>
        <v>1.5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669383</v>
      </c>
      <c r="D37" s="182">
        <f t="shared" si="1"/>
        <v>23.2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67732</v>
      </c>
      <c r="D38" s="182">
        <f t="shared" si="1"/>
        <v>2.4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48618</v>
      </c>
      <c r="D39" s="182">
        <f t="shared" si="1"/>
        <v>1.7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2879224.1500000004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STODDARD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2018-08-31T14:31:31Z</cp:lastPrinted>
  <dcterms:created xsi:type="dcterms:W3CDTF">1997-12-04T19:04:30Z</dcterms:created>
  <dcterms:modified xsi:type="dcterms:W3CDTF">2018-11-30T17:42:45Z</dcterms:modified>
</cp:coreProperties>
</file>