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8" i="12" l="1"/>
  <c r="B37" i="12"/>
  <c r="H204" i="1"/>
  <c r="D11" i="13"/>
  <c r="H240" i="1"/>
  <c r="B19" i="12" l="1"/>
  <c r="B21" i="12"/>
  <c r="B12" i="12"/>
  <c r="G97" i="1" l="1"/>
  <c r="G611" i="1"/>
  <c r="F61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C16" i="13" s="1"/>
  <c r="L209" i="1"/>
  <c r="L227" i="1"/>
  <c r="C125" i="2" s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E120" i="2" s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G472" i="1" s="1"/>
  <c r="G474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C11" i="10"/>
  <c r="C16" i="10"/>
  <c r="L250" i="1"/>
  <c r="L332" i="1"/>
  <c r="L254" i="1"/>
  <c r="L268" i="1"/>
  <c r="C142" i="2" s="1"/>
  <c r="L269" i="1"/>
  <c r="L349" i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E119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H461" i="1"/>
  <c r="H641" i="1" s="1"/>
  <c r="H470" i="1"/>
  <c r="I470" i="1"/>
  <c r="I476" i="1" s="1"/>
  <c r="H625" i="1" s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9" i="1"/>
  <c r="H630" i="1"/>
  <c r="H633" i="1"/>
  <c r="H636" i="1"/>
  <c r="H638" i="1"/>
  <c r="G640" i="1"/>
  <c r="G641" i="1"/>
  <c r="J641" i="1" s="1"/>
  <c r="G643" i="1"/>
  <c r="H643" i="1"/>
  <c r="G644" i="1"/>
  <c r="J644" i="1" s="1"/>
  <c r="H644" i="1"/>
  <c r="G650" i="1"/>
  <c r="G651" i="1"/>
  <c r="G652" i="1"/>
  <c r="H652" i="1"/>
  <c r="G653" i="1"/>
  <c r="H653" i="1"/>
  <c r="G654" i="1"/>
  <c r="H654" i="1"/>
  <c r="H655" i="1"/>
  <c r="A31" i="12"/>
  <c r="F78" i="2"/>
  <c r="E103" i="2"/>
  <c r="G62" i="2"/>
  <c r="D19" i="13"/>
  <c r="C19" i="13" s="1"/>
  <c r="E13" i="13"/>
  <c r="C13" i="13" s="1"/>
  <c r="E78" i="2"/>
  <c r="I169" i="1"/>
  <c r="J140" i="1"/>
  <c r="G22" i="2"/>
  <c r="H140" i="1"/>
  <c r="H338" i="1"/>
  <c r="H352" i="1" s="1"/>
  <c r="F552" i="1"/>
  <c r="C35" i="10"/>
  <c r="G36" i="2"/>
  <c r="C91" i="2" l="1"/>
  <c r="E62" i="2"/>
  <c r="E63" i="2" s="1"/>
  <c r="L393" i="1"/>
  <c r="C138" i="2" s="1"/>
  <c r="L309" i="1"/>
  <c r="G660" i="1" s="1"/>
  <c r="G664" i="1" s="1"/>
  <c r="G667" i="1" s="1"/>
  <c r="L290" i="1"/>
  <c r="L229" i="1"/>
  <c r="E134" i="2"/>
  <c r="E144" i="2" s="1"/>
  <c r="D31" i="2"/>
  <c r="D51" i="2" s="1"/>
  <c r="F18" i="2"/>
  <c r="H112" i="1"/>
  <c r="J655" i="1"/>
  <c r="H635" i="1"/>
  <c r="L544" i="1"/>
  <c r="H52" i="1"/>
  <c r="H619" i="1" s="1"/>
  <c r="L270" i="1"/>
  <c r="C26" i="10"/>
  <c r="D50" i="2"/>
  <c r="E122" i="2"/>
  <c r="E118" i="2"/>
  <c r="L247" i="1"/>
  <c r="H660" i="1" s="1"/>
  <c r="C12" i="10"/>
  <c r="J651" i="1"/>
  <c r="J625" i="1"/>
  <c r="E31" i="2"/>
  <c r="C20" i="10"/>
  <c r="G161" i="2"/>
  <c r="G645" i="1"/>
  <c r="J645" i="1" s="1"/>
  <c r="L565" i="1"/>
  <c r="J639" i="1"/>
  <c r="L419" i="1"/>
  <c r="C119" i="2"/>
  <c r="C13" i="10"/>
  <c r="K605" i="1"/>
  <c r="G648" i="1" s="1"/>
  <c r="K551" i="1"/>
  <c r="H545" i="1"/>
  <c r="K549" i="1"/>
  <c r="L524" i="1"/>
  <c r="I369" i="1"/>
  <c r="H634" i="1" s="1"/>
  <c r="J634" i="1" s="1"/>
  <c r="H661" i="1"/>
  <c r="J257" i="1"/>
  <c r="J271" i="1" s="1"/>
  <c r="C109" i="2"/>
  <c r="H257" i="1"/>
  <c r="H271" i="1" s="1"/>
  <c r="F257" i="1"/>
  <c r="F271" i="1" s="1"/>
  <c r="D12" i="13"/>
  <c r="C12" i="13" s="1"/>
  <c r="I257" i="1"/>
  <c r="I271" i="1" s="1"/>
  <c r="C112" i="2"/>
  <c r="C17" i="10"/>
  <c r="L211" i="1"/>
  <c r="F660" i="1" s="1"/>
  <c r="A40" i="12"/>
  <c r="D5" i="13"/>
  <c r="C5" i="13" s="1"/>
  <c r="F112" i="1"/>
  <c r="J617" i="1"/>
  <c r="C18" i="2"/>
  <c r="L401" i="1"/>
  <c r="C139" i="2" s="1"/>
  <c r="E128" i="2"/>
  <c r="I460" i="1"/>
  <c r="I452" i="1"/>
  <c r="I446" i="1"/>
  <c r="G642" i="1" s="1"/>
  <c r="E142" i="2"/>
  <c r="C123" i="2"/>
  <c r="C121" i="2"/>
  <c r="E109" i="2"/>
  <c r="E115" i="2" s="1"/>
  <c r="G81" i="2"/>
  <c r="C62" i="2"/>
  <c r="F661" i="1"/>
  <c r="C19" i="10"/>
  <c r="C15" i="10"/>
  <c r="C10" i="10"/>
  <c r="K550" i="1"/>
  <c r="L614" i="1"/>
  <c r="D15" i="13"/>
  <c r="C15" i="13" s="1"/>
  <c r="H647" i="1"/>
  <c r="L534" i="1"/>
  <c r="L433" i="1"/>
  <c r="L427" i="1"/>
  <c r="L434" i="1" s="1"/>
  <c r="G638" i="1" s="1"/>
  <c r="J638" i="1" s="1"/>
  <c r="L382" i="1"/>
  <c r="G636" i="1" s="1"/>
  <c r="J636" i="1" s="1"/>
  <c r="K352" i="1"/>
  <c r="L256" i="1"/>
  <c r="K257" i="1"/>
  <c r="K271" i="1" s="1"/>
  <c r="G257" i="1"/>
  <c r="G271" i="1" s="1"/>
  <c r="F192" i="1"/>
  <c r="G164" i="2"/>
  <c r="G157" i="2"/>
  <c r="G156" i="2"/>
  <c r="C111" i="2"/>
  <c r="C56" i="2"/>
  <c r="F662" i="1"/>
  <c r="I662" i="1" s="1"/>
  <c r="C18" i="10"/>
  <c r="C29" i="10"/>
  <c r="G552" i="1"/>
  <c r="E8" i="13"/>
  <c r="C8" i="13" s="1"/>
  <c r="G649" i="1"/>
  <c r="J649" i="1" s="1"/>
  <c r="L529" i="1"/>
  <c r="H25" i="13"/>
  <c r="E81" i="2"/>
  <c r="D6" i="13"/>
  <c r="C6" i="13" s="1"/>
  <c r="F22" i="13"/>
  <c r="C22" i="13" s="1"/>
  <c r="D29" i="13"/>
  <c r="C29" i="13" s="1"/>
  <c r="F81" i="2"/>
  <c r="J643" i="1"/>
  <c r="K598" i="1"/>
  <c r="G647" i="1" s="1"/>
  <c r="I571" i="1"/>
  <c r="J571" i="1"/>
  <c r="F571" i="1"/>
  <c r="K571" i="1"/>
  <c r="L560" i="1"/>
  <c r="L571" i="1" s="1"/>
  <c r="L539" i="1"/>
  <c r="K545" i="1"/>
  <c r="G545" i="1"/>
  <c r="J545" i="1"/>
  <c r="I545" i="1"/>
  <c r="K503" i="1"/>
  <c r="J338" i="1"/>
  <c r="J352" i="1" s="1"/>
  <c r="D127" i="2"/>
  <c r="D128" i="2" s="1"/>
  <c r="D145" i="2" s="1"/>
  <c r="C124" i="2"/>
  <c r="C120" i="2"/>
  <c r="G624" i="1"/>
  <c r="K500" i="1"/>
  <c r="C78" i="2"/>
  <c r="C81" i="2" s="1"/>
  <c r="G112" i="1"/>
  <c r="J6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G50" i="2"/>
  <c r="J652" i="1"/>
  <c r="G571" i="1"/>
  <c r="I434" i="1"/>
  <c r="G434" i="1"/>
  <c r="E104" i="2"/>
  <c r="I663" i="1"/>
  <c r="C27" i="10"/>
  <c r="G635" i="1"/>
  <c r="J635" i="1" l="1"/>
  <c r="H648" i="1"/>
  <c r="G51" i="2"/>
  <c r="D31" i="13"/>
  <c r="C31" i="13" s="1"/>
  <c r="E145" i="2"/>
  <c r="L338" i="1"/>
  <c r="L352" i="1" s="1"/>
  <c r="G633" i="1" s="1"/>
  <c r="J633" i="1" s="1"/>
  <c r="F104" i="2"/>
  <c r="C128" i="2"/>
  <c r="H664" i="1"/>
  <c r="H667" i="1" s="1"/>
  <c r="J648" i="1"/>
  <c r="K552" i="1"/>
  <c r="L545" i="1"/>
  <c r="I661" i="1"/>
  <c r="C115" i="2"/>
  <c r="L257" i="1"/>
  <c r="L271" i="1" s="1"/>
  <c r="G672" i="1"/>
  <c r="C5" i="10" s="1"/>
  <c r="C36" i="10"/>
  <c r="L408" i="1"/>
  <c r="J468" i="1" s="1"/>
  <c r="C141" i="2"/>
  <c r="C144" i="2" s="1"/>
  <c r="C28" i="10"/>
  <c r="D23" i="10" s="1"/>
  <c r="H672" i="1"/>
  <c r="C6" i="10" s="1"/>
  <c r="C25" i="13"/>
  <c r="H33" i="13"/>
  <c r="F664" i="1"/>
  <c r="I193" i="1"/>
  <c r="G630" i="1" s="1"/>
  <c r="J630" i="1" s="1"/>
  <c r="F193" i="1"/>
  <c r="E33" i="13"/>
  <c r="D35" i="13" s="1"/>
  <c r="J647" i="1"/>
  <c r="C63" i="2"/>
  <c r="C104" i="2" s="1"/>
  <c r="I461" i="1"/>
  <c r="H642" i="1" s="1"/>
  <c r="J642" i="1" s="1"/>
  <c r="F33" i="13"/>
  <c r="G104" i="2"/>
  <c r="I660" i="1"/>
  <c r="I664" i="1" s="1"/>
  <c r="I672" i="1" s="1"/>
  <c r="C7" i="10" s="1"/>
  <c r="C51" i="2"/>
  <c r="G631" i="1"/>
  <c r="D33" i="13"/>
  <c r="D36" i="13" s="1"/>
  <c r="G193" i="1"/>
  <c r="G626" i="1"/>
  <c r="J52" i="1"/>
  <c r="H621" i="1" s="1"/>
  <c r="J621" i="1" s="1"/>
  <c r="C38" i="10"/>
  <c r="G627" i="1" l="1"/>
  <c r="F468" i="1"/>
  <c r="H631" i="1"/>
  <c r="J631" i="1" s="1"/>
  <c r="J470" i="1"/>
  <c r="J476" i="1" s="1"/>
  <c r="H626" i="1" s="1"/>
  <c r="J626" i="1" s="1"/>
  <c r="H637" i="1"/>
  <c r="G628" i="1"/>
  <c r="G468" i="1"/>
  <c r="C145" i="2"/>
  <c r="G632" i="1"/>
  <c r="F472" i="1"/>
  <c r="D11" i="10"/>
  <c r="D21" i="10"/>
  <c r="D22" i="10"/>
  <c r="D13" i="10"/>
  <c r="D20" i="10"/>
  <c r="D25" i="10"/>
  <c r="D15" i="10"/>
  <c r="D19" i="10"/>
  <c r="D27" i="10"/>
  <c r="D18" i="10"/>
  <c r="D17" i="10"/>
  <c r="D12" i="10"/>
  <c r="D24" i="10"/>
  <c r="D10" i="10"/>
  <c r="D26" i="10"/>
  <c r="C30" i="10"/>
  <c r="D16" i="10"/>
  <c r="G637" i="1"/>
  <c r="H646" i="1"/>
  <c r="J646" i="1" s="1"/>
  <c r="F672" i="1"/>
  <c r="C4" i="10" s="1"/>
  <c r="F667" i="1"/>
  <c r="I667" i="1"/>
  <c r="C41" i="10"/>
  <c r="D38" i="10" s="1"/>
  <c r="F470" i="1" l="1"/>
  <c r="H627" i="1"/>
  <c r="J627" i="1"/>
  <c r="J637" i="1"/>
  <c r="G470" i="1"/>
  <c r="G476" i="1" s="1"/>
  <c r="H623" i="1" s="1"/>
  <c r="J623" i="1" s="1"/>
  <c r="H628" i="1"/>
  <c r="J628" i="1"/>
  <c r="H632" i="1"/>
  <c r="J632" i="1" s="1"/>
  <c r="F474" i="1"/>
  <c r="F476" i="1" s="1"/>
  <c r="H622" i="1" s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<sst xmlns="http://schemas.openxmlformats.org/spreadsheetml/2006/main" count="3959" uniqueCount="915">
  <si>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</si>
  <si>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</si>
  <si>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</si>
  <si>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</si>
  <si>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</si>
  <si>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</si>
  <si>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</si>
  <si>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</si>
  <si>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</si>
  <si>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</si>
  <si>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</si>
  <si>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</si>
  <si>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</si>
  <si>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</si>
  <si>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</si>
  <si>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</si>
  <si>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</si>
  <si>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</si>
  <si>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</si>
  <si>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</si>
  <si>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</si>
  <si>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</si>
  <si>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</si>
  <si>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</si>
  <si>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</si>
  <si>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</si>
  <si>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</si>
  <si>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</si>
  <si>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</si>
  <si>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</si>
  <si>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</si>
  <si>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</si>
  <si>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</si>
  <si>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</si>
  <si>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</si>
  <si>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</si>
  <si>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</si>
  <si>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</si>
  <si>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</si>
  <si>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</si>
  <si>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</si>
  <si>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</si>
  <si>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</si>
  <si>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</si>
  <si>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</si>
  <si>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</si>
  <si>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</si>
  <si>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</si>
  <si>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</si>
  <si>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</si>
  <si>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</si>
  <si>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</si>
  <si>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</si>
  <si>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</si>
  <si>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</si>
  <si>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</si>
  <si>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</si>
  <si>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</si>
  <si>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</si>
  <si>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</si>
  <si>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</si>
  <si>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</si>
  <si>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</si>
  <si>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</si>
  <si>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</si>
  <si>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</si>
  <si>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</si>
  <si>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</si>
  <si>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</si>
  <si>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</si>
  <si>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</si>
  <si>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</si>
  <si>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</si>
  <si>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</si>
  <si>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</si>
  <si>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</si>
  <si>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</si>
  <si>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</si>
  <si>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</si>
  <si>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</si>
  <si>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</si>
  <si>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</si>
  <si>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</si>
  <si>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</si>
  <si>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</si>
  <si>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</si>
  <si>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</si>
  <si>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</si>
  <si>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</si>
  <si>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</si>
  <si>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</si>
  <si>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</si>
  <si>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</si>
  <si>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</si>
  <si>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</si>
  <si>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</si>
  <si>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</si>
  <si>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</si>
  <si>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</si>
  <si>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</si>
  <si>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</si>
  <si>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</si>
  <si>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</si>
  <si>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</si>
  <si>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</si>
  <si>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</si>
  <si>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</si>
  <si>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</si>
  <si>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</si>
  <si>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</si>
  <si>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</si>
  <si>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</si>
  <si>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</si>
  <si>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</si>
  <si>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</si>
  <si>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</si>
  <si>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</si>
  <si>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</si>
  <si>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</si>
  <si>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</si>
  <si>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</si>
  <si>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</si>
  <si>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</si>
  <si>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</si>
  <si>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</si>
  <si>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</si>
  <si>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</si>
  <si>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</si>
  <si>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</si>
  <si>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</si>
  <si>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</si>
  <si>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</si>
  <si>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</si>
  <si>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</si>
  <si>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</si>
  <si>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</si>
  <si>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</si>
  <si>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</si>
  <si>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</si>
  <si>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</si>
  <si>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</si>
  <si>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</si>
  <si>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</si>
  <si>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</si>
  <si>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</si>
  <si>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</si>
  <si>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</si>
  <si>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</si>
  <si>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</si>
  <si>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</si>
  <si>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</si>
  <si>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</si>
  <si>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</si>
  <si>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</si>
  <si>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</si>
  <si>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</si>
  <si>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</si>
  <si>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</si>
  <si>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</si>
  <si>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</si>
  <si>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</si>
  <si>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</si>
  <si>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</si>
  <si>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</si>
  <si>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</si>
  <si>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</si>
  <si>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</si>
  <si>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</si>
  <si>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</si>
  <si>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</si>
  <si>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</si>
  <si>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</si>
  <si>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</si>
  <si>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</si>
  <si>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</si>
  <si>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</si>
  <si>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</si>
  <si>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</si>
  <si>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</si>
  <si>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</si>
  <si>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</si>
  <si>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</si>
  <si>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</si>
  <si>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</si>
  <si>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</si>
  <si>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</si>
  <si>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</si>
  <si>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</si>
  <si>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</si>
  <si>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</si>
  <si>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</si>
  <si>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</si>
  <si>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</si>
  <si>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</si>
  <si>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</si>
  <si>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</si>
  <si>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</si>
  <si>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</si>
  <si>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</si>
  <si>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</si>
  <si>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</si>
  <si>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</si>
  <si>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</si>
  <si>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</si>
  <si>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</si>
  <si>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</si>
  <si>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</si>
  <si>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</si>
  <si>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</si>
  <si>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</si>
  <si>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</si>
  <si>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</si>
  <si>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</si>
  <si>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</si>
  <si>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</si>
  <si>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</si>
  <si>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</si>
  <si>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</si>
  <si>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</si>
  <si>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</si>
  <si>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</si>
  <si>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</si>
  <si>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</si>
  <si>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</si>
  <si>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</si>
  <si>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</si>
  <si>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</si>
  <si>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</si>
  <si>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</si>
  <si>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</si>
  <si>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</si>
  <si>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</si>
  <si>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</si>
  <si>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</si>
  <si>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</si>
  <si>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</si>
  <si>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</si>
  <si>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</si>
  <si>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</si>
  <si>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</si>
  <si>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</si>
  <si>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</si>
  <si>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</si>
  <si>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</si>
  <si>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</si>
  <si>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</si>
  <si>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</si>
  <si>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</si>
  <si>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</si>
  <si>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</si>
  <si>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</si>
  <si>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</si>
  <si>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</si>
  <si>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</si>
  <si>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</si>
  <si>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</si>
  <si>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</si>
  <si>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</si>
  <si>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</si>
  <si>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</si>
  <si>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</si>
  <si>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</si>
  <si>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</si>
  <si>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</si>
  <si>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</si>
  <si>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</si>
  <si>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</si>
  <si>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</si>
  <si>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</si>
  <si>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</si>
  <si>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</si>
  <si>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</si>
  <si>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</si>
  <si>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</si>
  <si>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</si>
  <si>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</si>
  <si>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</si>
  <si>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</si>
  <si>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</si>
  <si>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</si>
  <si>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</si>
  <si>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</si>
  <si>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</si>
  <si>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</si>
  <si>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</si>
  <si>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</si>
  <si>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</si>
  <si>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</si>
  <si>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</si>
  <si>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</si>
  <si>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</si>
  <si>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</si>
  <si>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</si>
  <si>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</si>
  <si>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</si>
  <si>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</si>
  <si>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</si>
  <si>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</si>
  <si>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</si>
  <si>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</si>
  <si>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</si>
  <si>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</si>
  <si>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</si>
  <si>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</si>
  <si>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</si>
  <si>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</si>
  <si>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</si>
  <si>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</si>
  <si>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</si>
  <si>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</si>
  <si>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</si>
  <si>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</si>
  <si>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</si>
  <si>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</si>
  <si>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</si>
  <si>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</si>
  <si>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</si>
  <si>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</si>
  <si>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</si>
  <si>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</si>
  <si>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</si>
  <si>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</si>
  <si>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</si>
  <si>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</si>
  <si>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</si>
  <si>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</si>
  <si>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</si>
  <si>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</si>
  <si>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</si>
  <si>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</si>
  <si>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</si>
  <si>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</si>
  <si>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</si>
  <si>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</si>
  <si>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</si>
  <si>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</si>
  <si>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</si>
  <si>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</si>
  <si>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</si>
  <si>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</si>
  <si>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</si>
  <si>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</si>
  <si>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</si>
  <si>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</si>
  <si>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</si>
  <si>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</si>
  <si>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</si>
  <si>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</si>
  <si>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</si>
  <si>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</si>
  <si>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</si>
  <si>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</si>
  <si>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</si>
  <si>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</si>
  <si>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</si>
  <si>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</si>
  <si>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</si>
  <si>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</si>
  <si>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</si>
  <si>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</si>
  <si>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</si>
  <si>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</si>
  <si>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</si>
  <si>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</si>
  <si>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</si>
  <si>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</si>
  <si>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</si>
  <si>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</si>
  <si>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</si>
  <si>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</si>
  <si>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</si>
  <si>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</si>
  <si>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</si>
  <si>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</si>
  <si>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</si>
  <si>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</si>
  <si>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</si>
  <si>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</si>
  <si>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</si>
  <si>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</si>
  <si>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</si>
  <si>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</si>
  <si>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</si>
  <si>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</si>
  <si>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</si>
  <si>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</si>
  <si>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</si>
  <si>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</si>
  <si>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</si>
  <si>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</si>
  <si>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</si>
  <si>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</si>
  <si>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</si>
  <si>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</si>
  <si>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</si>
  <si>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</si>
  <si>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</si>
  <si>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</si>
  <si>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</si>
  <si>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</si>
  <si>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</si>
  <si>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</si>
  <si>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</si>
  <si>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</si>
  <si>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</si>
  <si>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</si>
  <si>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</si>
  <si>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</si>
  <si>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</si>
  <si>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</si>
  <si>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</si>
  <si>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</si>
  <si>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</si>
  <si>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</si>
  <si>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</si>
  <si>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</si>
  <si>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</si>
  <si>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</si>
  <si>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</si>
  <si>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</si>
  <si>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</si>
  <si>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</si>
  <si>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</si>
  <si>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</si>
  <si>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</si>
  <si>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</si>
  <si>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</si>
  <si>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</si>
  <si>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</si>
  <si>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</si>
  <si>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</si>
  <si>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</si>
  <si>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</si>
  <si>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</si>
  <si>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</si>
  <si>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</si>
  <si>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</si>
  <si>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</si>
  <si>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</si>
  <si>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</si>
  <si>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</si>
  <si>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</si>
  <si>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</si>
  <si>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</si>
  <si>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</si>
  <si>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</si>
  <si>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</si>
  <si>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</si>
  <si>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</si>
  <si>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</si>
  <si>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</si>
  <si>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</si>
  <si>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</si>
  <si>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</si>
  <si>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</si>
  <si>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</si>
  <si>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</si>
  <si>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</si>
  <si>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</si>
  <si>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</si>
  <si>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</si>
  <si>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</si>
  <si>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</si>
  <si>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</si>
  <si>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</si>
  <si>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</si>
  <si>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</si>
  <si>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</si>
  <si>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</si>
  <si>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</si>
  <si>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</si>
  <si>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</si>
  <si>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</si>
  <si>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</si>
  <si>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</si>
  <si>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</si>
  <si>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</si>
  <si>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</si>
  <si>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</si>
  <si>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</si>
  <si>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</si>
  <si>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</si>
  <si>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</si>
  <si>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</si>
  <si>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</si>
  <si>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</si>
  <si>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</si>
  <si>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</si>
  <si>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</si>
  <si>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</si>
  <si>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</si>
  <si>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</si>
  <si>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</si>
  <si>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</si>
  <si>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</si>
  <si>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</si>
  <si>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</si>
  <si>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</si>
  <si>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</si>
  <si>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</si>
  <si>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</si>
  <si>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</si>
  <si>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</si>
  <si>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</si>
  <si>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</si>
  <si>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</si>
  <si>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</si>
  <si>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</si>
  <si>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</si>
  <si>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</si>
  <si>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</si>
  <si>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</si>
  <si>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</si>
  <si>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</si>
  <si>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</si>
  <si>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</si>
  <si>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</si>
  <si>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</si>
  <si>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</si>
  <si>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</si>
  <si>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</si>
  <si>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</si>
  <si>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</si>
  <si>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</si>
  <si>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</si>
  <si>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</si>
  <si>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</si>
  <si>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</si>
  <si>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</si>
  <si>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</si>
  <si>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</si>
  <si>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</si>
  <si>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</si>
  <si>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</si>
  <si>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</si>
  <si>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</si>
  <si>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</si>
  <si>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</si>
  <si>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</si>
  <si>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</si>
  <si>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</si>
  <si>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</si>
  <si>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</si>
  <si>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</si>
  <si>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</si>
  <si>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</si>
  <si>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</si>
  <si>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</si>
  <si>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</si>
  <si>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</si>
  <si>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</si>
  <si>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</si>
  <si>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</si>
  <si>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</si>
  <si>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</si>
  <si>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</si>
  <si>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</si>
  <si>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</si>
  <si>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</si>
  <si>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</si>
  <si>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</si>
  <si>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</si>
  <si>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</si>
  <si>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</si>
  <si>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</si>
  <si>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</si>
  <si>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</si>
  <si>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</si>
  <si>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</si>
  <si>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</si>
  <si>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</si>
  <si>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</si>
  <si>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</si>
  <si>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</si>
  <si>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</si>
  <si>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</si>
  <si>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</si>
  <si>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</si>
  <si>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</si>
  <si>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</si>
  <si>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</si>
  <si>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</si>
  <si>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</si>
  <si>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</si>
  <si>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</si>
  <si>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</si>
  <si>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</si>
  <si>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</si>
  <si>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</si>
  <si>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</si>
  <si>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</si>
  <si>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</si>
  <si>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</si>
  <si>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</si>
  <si>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</si>
  <si>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</si>
  <si>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</si>
  <si>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</si>
  <si>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</si>
  <si>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</si>
  <si>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</si>
  <si>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</si>
  <si>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</si>
  <si>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</si>
  <si>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</si>
  <si>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</si>
  <si>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</si>
  <si>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</si>
  <si>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</si>
  <si>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</si>
  <si>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</si>
  <si>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</si>
  <si>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</si>
  <si>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</si>
  <si>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</si>
  <si>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</si>
  <si>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</si>
  <si>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</si>
  <si>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</si>
  <si>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</si>
  <si>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</si>
  <si>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</si>
  <si>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</si>
  <si>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</si>
  <si>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</si>
  <si>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</si>
  <si>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</si>
  <si>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</si>
  <si>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</si>
  <si>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</si>
  <si>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</si>
  <si>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</si>
  <si>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</si>
  <si>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</si>
  <si>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</si>
  <si>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</si>
  <si>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</si>
  <si>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</si>
  <si>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</si>
  <si>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</si>
  <si>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</si>
  <si>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</si>
  <si>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</si>
  <si>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</si>
  <si>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</si>
  <si>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</si>
  <si>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</si>
  <si>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</si>
  <si>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</si>
  <si>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</si>
  <si>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</si>
  <si>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</si>
  <si>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</si>
  <si>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</si>
  <si>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</si>
  <si>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</si>
  <si>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</si>
  <si>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</si>
  <si>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</si>
  <si>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</si>
  <si>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</si>
  <si>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</si>
  <si>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</si>
  <si>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</si>
  <si>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</si>
  <si>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</si>
  <si>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</si>
  <si>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</si>
  <si>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</si>
  <si>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</si>
  <si>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</si>
  <si>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</si>
  <si>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</si>
  <si>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</si>
  <si>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</si>
  <si>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</si>
  <si>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</si>
  <si>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</si>
  <si>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</si>
  <si>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</si>
  <si>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</si>
  <si>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</si>
  <si>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</si>
  <si>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</si>
  <si>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</si>
  <si>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</si>
  <si>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</si>
  <si>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</si>
  <si>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</si>
  <si>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</si>
  <si>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</si>
  <si>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</si>
  <si>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</si>
  <si>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</si>
  <si>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</si>
  <si>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</si>
  <si>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</si>
  <si>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</si>
  <si>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</si>
  <si>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</si>
  <si>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</si>
  <si>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</si>
  <si>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</si>
  <si>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</si>
  <si>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</si>
  <si>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</si>
  <si>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</si>
  <si>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</si>
  <si>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</si>
  <si>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</si>
  <si>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</si>
  <si>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</si>
  <si>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</si>
  <si>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</si>
  <si>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</si>
  <si>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</si>
  <si>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</si>
  <si>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</si>
  <si>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</si>
  <si>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</si>
  <si>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</si>
  <si>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</si>
  <si>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</si>
  <si>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</si>
  <si>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</si>
  <si>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</si>
  <si>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</si>
  <si>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</si>
  <si>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</si>
  <si>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</si>
  <si>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</si>
  <si>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</si>
  <si>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</si>
  <si>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</si>
  <si>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</si>
  <si>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</si>
  <si>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</si>
  <si>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</si>
  <si>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</si>
  <si>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</si>
  <si>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</si>
  <si>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</si>
  <si>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</si>
  <si>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</si>
  <si>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</si>
  <si>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</si>
  <si>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</si>
  <si>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</si>
  <si>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</si>
  <si>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</si>
  <si>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</si>
  <si>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</si>
  <si>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</si>
  <si>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</si>
  <si>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</si>
  <si>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</si>
  <si>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</si>
  <si>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</si>
  <si>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</si>
  <si>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</si>
  <si>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</si>
  <si>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</si>
  <si>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</si>
  <si>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</si>
  <si>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</si>
  <si>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</si>
  <si>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</si>
  <si>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</si>
  <si>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</si>
  <si>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</si>
  <si>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</si>
  <si>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</si>
  <si>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</si>
  <si>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</si>
  <si>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</si>
  <si>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</si>
  <si>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</si>
  <si>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</si>
  <si>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</si>
  <si>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</si>
  <si>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</si>
  <si>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</si>
  <si>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</si>
  <si>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</si>
  <si>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</si>
  <si>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</si>
  <si>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</si>
  <si>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</si>
  <si>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</si>
  <si>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</si>
  <si>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</si>
  <si>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</si>
  <si>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</si>
  <si>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</si>
  <si>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</si>
  <si>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</si>
  <si>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</si>
  <si>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</si>
  <si>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</si>
  <si>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</si>
  <si>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</si>
  <si>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</si>
  <si>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</si>
  <si>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</si>
  <si>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</si>
  <si>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</si>
  <si>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</si>
  <si>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</si>
  <si>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</si>
  <si>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</si>
  <si>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</si>
  <si>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</si>
  <si>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</si>
  <si>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</si>
  <si>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</si>
  <si>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</si>
  <si>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</si>
  <si>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</si>
  <si>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</si>
  <si>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</si>
  <si>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</si>
  <si>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</si>
  <si>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</si>
  <si>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</si>
  <si>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</si>
  <si>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</si>
  <si>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</si>
  <si>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</si>
  <si>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</si>
  <si>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</si>
  <si>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</si>
  <si>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</si>
  <si>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</si>
  <si>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</si>
  <si>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</si>
  <si>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</si>
  <si>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</si>
  <si>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</si>
  <si>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</si>
  <si>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</si>
  <si>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</si>
  <si>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</si>
  <si>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</si>
  <si>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</si>
  <si>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</si>
  <si>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</si>
  <si>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</si>
  <si>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</si>
  <si>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</si>
  <si>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</si>
  <si>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</si>
  <si>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</si>
  <si>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</si>
  <si>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</si>
  <si>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</si>
  <si>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</si>
  <si>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</si>
  <si>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</si>
  <si>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</si>
  <si>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</si>
  <si>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</si>
  <si>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</si>
  <si>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</si>
  <si>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</si>
  <si>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</si>
  <si>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</si>
  <si>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</si>
  <si>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</si>
  <si>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</si>
  <si>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</si>
  <si>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</si>
  <si>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</si>
  <si>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</si>
  <si>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</si>
  <si>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</si>
  <si>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</si>
  <si>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</si>
  <si>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</si>
  <si>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</si>
  <si>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</si>
  <si>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</si>
  <si>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</si>
  <si>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</si>
  <si>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</si>
  <si>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</si>
  <si>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</si>
  <si>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</si>
  <si>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</si>
  <si>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</si>
  <si>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</si>
  <si>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</si>
  <si>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</si>
  <si>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</si>
  <si>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</si>
  <si>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</si>
  <si>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</si>
  <si>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</si>
  <si>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</si>
  <si>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</si>
  <si>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</si>
  <si>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</si>
  <si>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</si>
  <si>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</si>
  <si>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</si>
  <si>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</si>
  <si>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</si>
  <si>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</si>
  <si>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</si>
  <si>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</si>
  <si>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</si>
  <si>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</si>
  <si>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</si>
  <si>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Strafford</t>
  </si>
  <si>
    <t>8/10</t>
  </si>
  <si>
    <t>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</si>
</sst>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507</v>
      </c>
      <c r="C2" s="21">
        <v>507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380941.98</v>
      </c>
      <c r="G9" s="18"/>
      <c r="H9" s="18"/>
      <c r="I9" s="18"/>
      <c r="J9" s="67">
        <f>SUM(I439)</f>
        <v>529074.26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22898.46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16559.18</v>
      </c>
      <c r="G14" s="18">
        <v>4576.82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15810.96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32.5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397533.66</v>
      </c>
      <c r="G19" s="41">
        <f>SUM(G9:G18)</f>
        <v>43286.239999999998</v>
      </c>
      <c r="H19" s="41">
        <f>SUM(H9:H18)</f>
        <v>0</v>
      </c>
      <c r="I19" s="41">
        <f>SUM(I9:I18)</f>
        <v>0</v>
      </c>
      <c r="J19" s="41">
        <f>SUM(J9:J18)</f>
        <v>529074.26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22898.46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v>130.6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176607.72</v>
      </c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-1281.2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198224.97999999998</v>
      </c>
      <c r="G32" s="41">
        <f>SUM(G22:G31)</f>
        <v>130.6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15810.96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32.5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>
        <v>27344.68</v>
      </c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529074.26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199276.18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199308.68</v>
      </c>
      <c r="G51" s="41">
        <f>SUM(G35:G50)</f>
        <v>43155.64</v>
      </c>
      <c r="H51" s="41">
        <f>SUM(H35:H50)</f>
        <v>0</v>
      </c>
      <c r="I51" s="41">
        <f>SUM(I35:I50)</f>
        <v>0</v>
      </c>
      <c r="J51" s="41">
        <f>SUM(J35:J50)</f>
        <v>529074.26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397533.66</v>
      </c>
      <c r="G52" s="41">
        <f>G51+G32</f>
        <v>43286.239999999998</v>
      </c>
      <c r="H52" s="41">
        <f>H51+H32</f>
        <v>0</v>
      </c>
      <c r="I52" s="41">
        <f>I51+I32</f>
        <v>0</v>
      </c>
      <c r="J52" s="41">
        <f>J51+J32</f>
        <v>529074.26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6858597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6858597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6792.5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6792.5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3169.46</v>
      </c>
      <c r="G96" s="18"/>
      <c r="H96" s="18"/>
      <c r="I96" s="18"/>
      <c r="J96" s="18">
        <v>5188.3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113905.59+51.94</f>
        <v>113957.53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3130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19016.32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25315.78</v>
      </c>
      <c r="G111" s="41">
        <f>SUM(G96:G110)</f>
        <v>113957.53</v>
      </c>
      <c r="H111" s="41">
        <f>SUM(H96:H110)</f>
        <v>0</v>
      </c>
      <c r="I111" s="41">
        <f>SUM(I96:I110)</f>
        <v>0</v>
      </c>
      <c r="J111" s="41">
        <f>SUM(J96:J110)</f>
        <v>5188.3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6890705.2800000003</v>
      </c>
      <c r="G112" s="41">
        <f>G60+G111</f>
        <v>113957.53</v>
      </c>
      <c r="H112" s="41">
        <f>H60+H79+H94+H111</f>
        <v>0</v>
      </c>
      <c r="I112" s="41">
        <f>I60+I111</f>
        <v>0</v>
      </c>
      <c r="J112" s="41">
        <f>J60+J111</f>
        <v>5188.3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2058037.35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1049635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6849.25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3114521.6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68482.5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2383.06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68482.5</v>
      </c>
      <c r="G136" s="41">
        <f>SUM(G123:G135)</f>
        <v>2383.06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3183004.1</v>
      </c>
      <c r="G140" s="41">
        <f>G121+SUM(G136:G137)</f>
        <v>2383.06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37169.879999999997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32691.96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32691.96</v>
      </c>
      <c r="G162" s="41">
        <f>SUM(G150:G161)</f>
        <v>37169.879999999997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32691.96</v>
      </c>
      <c r="G169" s="41">
        <f>G147+G162+SUM(G163:G168)</f>
        <v>37169.879999999997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8004.97</v>
      </c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8004.97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8004.97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10106401.340000002</v>
      </c>
      <c r="G193" s="47">
        <f>G112+G140+G169+G192</f>
        <v>161515.44</v>
      </c>
      <c r="H193" s="47">
        <f>H112+H140+H169+H192</f>
        <v>0</v>
      </c>
      <c r="I193" s="47">
        <f>I112+I140+I169+I192</f>
        <v>0</v>
      </c>
      <c r="J193" s="47">
        <f>J112+J140+J192</f>
        <v>55188.3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1796362.97</v>
      </c>
      <c r="G197" s="18">
        <v>892269.67</v>
      </c>
      <c r="H197" s="18">
        <v>27851.93</v>
      </c>
      <c r="I197" s="18">
        <v>56896.03</v>
      </c>
      <c r="J197" s="18">
        <v>37622.51</v>
      </c>
      <c r="K197" s="18"/>
      <c r="L197" s="19">
        <f>SUM(F197:K197)</f>
        <v>2811003.11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541546.46</v>
      </c>
      <c r="G198" s="18">
        <v>296086.40000000002</v>
      </c>
      <c r="H198" s="18">
        <v>193536.49</v>
      </c>
      <c r="I198" s="18">
        <v>4485.91</v>
      </c>
      <c r="J198" s="18"/>
      <c r="K198" s="18">
        <v>125</v>
      </c>
      <c r="L198" s="19">
        <f>SUM(F198:K198)</f>
        <v>1035780.26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34172.519999999997</v>
      </c>
      <c r="G200" s="18">
        <v>5538.19</v>
      </c>
      <c r="H200" s="18">
        <v>5799</v>
      </c>
      <c r="I200" s="18">
        <v>2432.94</v>
      </c>
      <c r="J200" s="18"/>
      <c r="K200" s="18">
        <v>2108.5</v>
      </c>
      <c r="L200" s="19">
        <f>SUM(F200:K200)</f>
        <v>50051.15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232882.96</v>
      </c>
      <c r="G202" s="18">
        <v>92144.87</v>
      </c>
      <c r="H202" s="18">
        <v>83932.68</v>
      </c>
      <c r="I202" s="18">
        <v>2906.8</v>
      </c>
      <c r="J202" s="18"/>
      <c r="K202" s="18">
        <v>1979</v>
      </c>
      <c r="L202" s="19">
        <f t="shared" ref="L202:L208" si="0">SUM(F202:K202)</f>
        <v>413846.30999999994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76133.67</v>
      </c>
      <c r="G203" s="18">
        <v>39386.36</v>
      </c>
      <c r="H203" s="18">
        <v>11888.42</v>
      </c>
      <c r="I203" s="18">
        <v>36297.07</v>
      </c>
      <c r="J203" s="18"/>
      <c r="K203" s="18"/>
      <c r="L203" s="19">
        <f t="shared" si="0"/>
        <v>163705.51999999999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13135.36</v>
      </c>
      <c r="G204" s="18">
        <v>999.83</v>
      </c>
      <c r="H204" s="18">
        <f>22837.72+248755.73-1042.18</f>
        <v>270551.27</v>
      </c>
      <c r="I204" s="18"/>
      <c r="J204" s="18"/>
      <c r="K204" s="18">
        <v>1042.18</v>
      </c>
      <c r="L204" s="19">
        <f t="shared" si="0"/>
        <v>285728.64000000001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285815.11</v>
      </c>
      <c r="G205" s="18">
        <v>136911.9</v>
      </c>
      <c r="H205" s="18">
        <v>10839.4</v>
      </c>
      <c r="I205" s="18">
        <v>629.38</v>
      </c>
      <c r="J205" s="18"/>
      <c r="K205" s="18">
        <v>3535.05</v>
      </c>
      <c r="L205" s="19">
        <f t="shared" si="0"/>
        <v>437730.84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130565.26</v>
      </c>
      <c r="G207" s="18">
        <v>55488.94</v>
      </c>
      <c r="H207" s="18">
        <v>176344.85</v>
      </c>
      <c r="I207" s="18">
        <v>117278.91</v>
      </c>
      <c r="J207" s="18">
        <v>14987.59</v>
      </c>
      <c r="K207" s="18"/>
      <c r="L207" s="19">
        <f t="shared" si="0"/>
        <v>494665.5500000001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264178.61</v>
      </c>
      <c r="I208" s="18"/>
      <c r="J208" s="18"/>
      <c r="K208" s="18"/>
      <c r="L208" s="19">
        <f t="shared" si="0"/>
        <v>264178.61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3110614.3099999991</v>
      </c>
      <c r="G211" s="41">
        <f t="shared" si="1"/>
        <v>1518826.16</v>
      </c>
      <c r="H211" s="41">
        <f t="shared" si="1"/>
        <v>1044922.65</v>
      </c>
      <c r="I211" s="41">
        <f t="shared" si="1"/>
        <v>220927.04</v>
      </c>
      <c r="J211" s="41">
        <f t="shared" si="1"/>
        <v>52610.100000000006</v>
      </c>
      <c r="K211" s="41">
        <f t="shared" si="1"/>
        <v>8789.73</v>
      </c>
      <c r="L211" s="41">
        <f t="shared" si="1"/>
        <v>5956689.9899999993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3388575.34</v>
      </c>
      <c r="I233" s="18">
        <v>1061.33</v>
      </c>
      <c r="J233" s="18">
        <v>547.54</v>
      </c>
      <c r="K233" s="18"/>
      <c r="L233" s="19">
        <f>SUM(F233:K233)</f>
        <v>3390184.21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256663.26</v>
      </c>
      <c r="I234" s="18"/>
      <c r="J234" s="18"/>
      <c r="K234" s="18"/>
      <c r="L234" s="19">
        <f>SUM(F234:K234)</f>
        <v>256663.26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26120.5</v>
      </c>
      <c r="I238" s="18"/>
      <c r="J238" s="18"/>
      <c r="K238" s="18"/>
      <c r="L238" s="19">
        <f t="shared" ref="L238:L244" si="4">SUM(F238:K238)</f>
        <v>26120.5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6766.7</v>
      </c>
      <c r="G240" s="18">
        <v>515.05999999999995</v>
      </c>
      <c r="H240" s="18">
        <f>11764.88+128146.89</f>
        <v>139911.76999999999</v>
      </c>
      <c r="I240" s="18"/>
      <c r="J240" s="18"/>
      <c r="K240" s="18"/>
      <c r="L240" s="19">
        <f t="shared" si="4"/>
        <v>147193.53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140054.39999999999</v>
      </c>
      <c r="I244" s="18"/>
      <c r="J244" s="18"/>
      <c r="K244" s="18"/>
      <c r="L244" s="19">
        <f t="shared" si="4"/>
        <v>140054.39999999999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6766.7</v>
      </c>
      <c r="G247" s="41">
        <f t="shared" si="5"/>
        <v>515.05999999999995</v>
      </c>
      <c r="H247" s="41">
        <f t="shared" si="5"/>
        <v>3951325.2699999996</v>
      </c>
      <c r="I247" s="41">
        <f t="shared" si="5"/>
        <v>1061.33</v>
      </c>
      <c r="J247" s="41">
        <f t="shared" si="5"/>
        <v>547.54</v>
      </c>
      <c r="K247" s="41">
        <f t="shared" si="5"/>
        <v>0</v>
      </c>
      <c r="L247" s="41">
        <f t="shared" si="5"/>
        <v>3960215.8999999994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3117381.0099999993</v>
      </c>
      <c r="G257" s="41">
        <f t="shared" si="8"/>
        <v>1519341.22</v>
      </c>
      <c r="H257" s="41">
        <f t="shared" si="8"/>
        <v>4996247.92</v>
      </c>
      <c r="I257" s="41">
        <f t="shared" si="8"/>
        <v>221988.37</v>
      </c>
      <c r="J257" s="41">
        <f t="shared" si="8"/>
        <v>53157.640000000007</v>
      </c>
      <c r="K257" s="41">
        <f t="shared" si="8"/>
        <v>8789.73</v>
      </c>
      <c r="L257" s="41">
        <f t="shared" si="8"/>
        <v>9916905.8899999987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210000</v>
      </c>
      <c r="L260" s="19">
        <f>SUM(F260:K260)</f>
        <v>210000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193687.5</v>
      </c>
      <c r="L261" s="19">
        <f>SUM(F261:K261)</f>
        <v>193687.5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8004.97</v>
      </c>
      <c r="L263" s="19">
        <f>SUM(F263:K263)</f>
        <v>8004.97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461692.47</v>
      </c>
      <c r="L270" s="41">
        <f t="shared" si="9"/>
        <v>461692.47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3117381.0099999993</v>
      </c>
      <c r="G271" s="42">
        <f t="shared" si="11"/>
        <v>1519341.22</v>
      </c>
      <c r="H271" s="42">
        <f t="shared" si="11"/>
        <v>4996247.92</v>
      </c>
      <c r="I271" s="42">
        <f t="shared" si="11"/>
        <v>221988.37</v>
      </c>
      <c r="J271" s="42">
        <f t="shared" si="11"/>
        <v>53157.640000000007</v>
      </c>
      <c r="K271" s="42">
        <f t="shared" si="11"/>
        <v>470482.19999999995</v>
      </c>
      <c r="L271" s="42">
        <f t="shared" si="11"/>
        <v>10378598.359999999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71162.39</v>
      </c>
      <c r="G358" s="18">
        <v>12795.63</v>
      </c>
      <c r="H358" s="18">
        <v>3330.18</v>
      </c>
      <c r="I358" s="18">
        <v>76227.100000000006</v>
      </c>
      <c r="J358" s="18"/>
      <c r="K358" s="18">
        <v>53.5</v>
      </c>
      <c r="L358" s="13">
        <f>SUM(F358:K358)</f>
        <v>163568.79999999999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71162.39</v>
      </c>
      <c r="G362" s="47">
        <f t="shared" si="22"/>
        <v>12795.63</v>
      </c>
      <c r="H362" s="47">
        <f t="shared" si="22"/>
        <v>3330.18</v>
      </c>
      <c r="I362" s="47">
        <f t="shared" si="22"/>
        <v>76227.100000000006</v>
      </c>
      <c r="J362" s="47">
        <f t="shared" si="22"/>
        <v>0</v>
      </c>
      <c r="K362" s="47">
        <f t="shared" si="22"/>
        <v>53.5</v>
      </c>
      <c r="L362" s="47">
        <f t="shared" si="22"/>
        <v>163568.79999999999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72233.919999999998</v>
      </c>
      <c r="G367" s="18"/>
      <c r="H367" s="18"/>
      <c r="I367" s="56">
        <f>SUM(F367:H367)</f>
        <v>72233.919999999998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3993.18</v>
      </c>
      <c r="G368" s="63"/>
      <c r="H368" s="63"/>
      <c r="I368" s="56">
        <f>SUM(F368:H368)</f>
        <v>3993.18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76227.099999999991</v>
      </c>
      <c r="G369" s="47">
        <f>SUM(G367:G368)</f>
        <v>0</v>
      </c>
      <c r="H369" s="47">
        <f>SUM(H367:H368)</f>
        <v>0</v>
      </c>
      <c r="I369" s="47">
        <f>SUM(I367:I368)</f>
        <v>76227.099999999991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v>4129.45</v>
      </c>
      <c r="I396" s="18"/>
      <c r="J396" s="24" t="s">
        <v>286</v>
      </c>
      <c r="K396" s="24" t="s">
        <v>286</v>
      </c>
      <c r="L396" s="56">
        <f t="shared" si="26"/>
        <v>29129.45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1058.8499999999999</v>
      </c>
      <c r="I397" s="18"/>
      <c r="J397" s="24" t="s">
        <v>286</v>
      </c>
      <c r="K397" s="24" t="s">
        <v>286</v>
      </c>
      <c r="L397" s="56">
        <f t="shared" si="26"/>
        <v>26058.85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5188.2999999999993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55188.3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5188.2999999999993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55188.3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529074.26</v>
      </c>
      <c r="H439" s="18"/>
      <c r="I439" s="56">
        <f t="shared" ref="I439:I445" si="33">SUM(F439:H439)</f>
        <v>529074.26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529074.26</v>
      </c>
      <c r="H446" s="13">
        <f>SUM(H439:H445)</f>
        <v>0</v>
      </c>
      <c r="I446" s="13">
        <f>SUM(I439:I445)</f>
        <v>529074.26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529074.26</v>
      </c>
      <c r="H459" s="18"/>
      <c r="I459" s="56">
        <f t="shared" si="34"/>
        <v>529074.26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529074.26</v>
      </c>
      <c r="H460" s="83">
        <f>SUM(H454:H459)</f>
        <v>0</v>
      </c>
      <c r="I460" s="83">
        <f>SUM(I454:I459)</f>
        <v>529074.26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529074.26</v>
      </c>
      <c r="H461" s="42">
        <f>H452+H460</f>
        <v>0</v>
      </c>
      <c r="I461" s="42">
        <f>I452+I460</f>
        <v>529074.26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471505.7</v>
      </c>
      <c r="G465" s="18">
        <v>45209</v>
      </c>
      <c r="H465" s="18"/>
      <c r="I465" s="18"/>
      <c r="J465" s="18">
        <v>473885.96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10106401.340000002</v>
      </c>
      <c r="G468" s="18">
        <f>G193</f>
        <v>161515.44</v>
      </c>
      <c r="H468" s="18"/>
      <c r="I468" s="18"/>
      <c r="J468" s="18">
        <f>L408</f>
        <v>55188.3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10106401.340000002</v>
      </c>
      <c r="G470" s="53">
        <f>SUM(G468:G469)</f>
        <v>161515.44</v>
      </c>
      <c r="H470" s="53">
        <f>SUM(H468:H469)</f>
        <v>0</v>
      </c>
      <c r="I470" s="53">
        <f>SUM(I468:I469)</f>
        <v>0</v>
      </c>
      <c r="J470" s="53">
        <f>SUM(J468:J469)</f>
        <v>55188.3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10378598.359999999</v>
      </c>
      <c r="G472" s="18">
        <f>L362</f>
        <v>163568.79999999999</v>
      </c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10378598.359999999</v>
      </c>
      <c r="G474" s="53">
        <f>SUM(G472:G473)</f>
        <v>163568.79999999999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199308.68000000156</v>
      </c>
      <c r="G476" s="53">
        <f>(G465+G470)- G474</f>
        <v>43155.640000000014</v>
      </c>
      <c r="H476" s="53">
        <f>(H465+H470)- H474</f>
        <v>0</v>
      </c>
      <c r="I476" s="53">
        <f>(I465+I470)- I474</f>
        <v>0</v>
      </c>
      <c r="J476" s="53">
        <f>(J465+J470)- J474</f>
        <v>529074.26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5600000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3.99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4100000</v>
      </c>
      <c r="G495" s="18"/>
      <c r="H495" s="18"/>
      <c r="I495" s="18"/>
      <c r="J495" s="18"/>
      <c r="K495" s="53">
        <f>SUM(F495:J495)</f>
        <v>4100000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210000</v>
      </c>
      <c r="G497" s="18"/>
      <c r="H497" s="18"/>
      <c r="I497" s="18"/>
      <c r="J497" s="18"/>
      <c r="K497" s="53">
        <f t="shared" si="35"/>
        <v>210000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3890000</v>
      </c>
      <c r="G498" s="204"/>
      <c r="H498" s="204"/>
      <c r="I498" s="204"/>
      <c r="J498" s="204"/>
      <c r="K498" s="205">
        <f t="shared" si="35"/>
        <v>3890000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1380069</v>
      </c>
      <c r="G499" s="18"/>
      <c r="H499" s="18"/>
      <c r="I499" s="18"/>
      <c r="J499" s="18"/>
      <c r="K499" s="53">
        <f t="shared" si="35"/>
        <v>1380069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5270069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5270069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210000</v>
      </c>
      <c r="G501" s="204"/>
      <c r="H501" s="204"/>
      <c r="I501" s="204"/>
      <c r="J501" s="204"/>
      <c r="K501" s="205">
        <f t="shared" si="35"/>
        <v>210000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185138</v>
      </c>
      <c r="G502" s="18"/>
      <c r="H502" s="18"/>
      <c r="I502" s="18"/>
      <c r="J502" s="18"/>
      <c r="K502" s="53">
        <f t="shared" si="35"/>
        <v>185138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395138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395138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541546.46</v>
      </c>
      <c r="G521" s="18">
        <v>296086.40000000002</v>
      </c>
      <c r="H521" s="18">
        <v>193536.49</v>
      </c>
      <c r="I521" s="18">
        <v>4485.91</v>
      </c>
      <c r="J521" s="18"/>
      <c r="K521" s="18">
        <v>125</v>
      </c>
      <c r="L521" s="88">
        <f>SUM(F521:K521)</f>
        <v>1035780.26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256663.26</v>
      </c>
      <c r="I523" s="18"/>
      <c r="J523" s="18"/>
      <c r="K523" s="18"/>
      <c r="L523" s="88">
        <f>SUM(F523:K523)</f>
        <v>256663.26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541546.46</v>
      </c>
      <c r="G524" s="108">
        <f t="shared" ref="G524:L524" si="36">SUM(G521:G523)</f>
        <v>296086.40000000002</v>
      </c>
      <c r="H524" s="108">
        <f t="shared" si="36"/>
        <v>450199.75</v>
      </c>
      <c r="I524" s="108">
        <f t="shared" si="36"/>
        <v>4485.91</v>
      </c>
      <c r="J524" s="108">
        <f t="shared" si="36"/>
        <v>0</v>
      </c>
      <c r="K524" s="108">
        <f t="shared" si="36"/>
        <v>125</v>
      </c>
      <c r="L524" s="89">
        <f t="shared" si="36"/>
        <v>1292443.52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129362.68</v>
      </c>
      <c r="G526" s="18">
        <v>63133.96</v>
      </c>
      <c r="H526" s="18">
        <v>69705.919999999998</v>
      </c>
      <c r="I526" s="18">
        <v>1447.77</v>
      </c>
      <c r="J526" s="18"/>
      <c r="K526" s="18"/>
      <c r="L526" s="88">
        <f>SUM(F526:K526)</f>
        <v>263650.33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26120.5</v>
      </c>
      <c r="I528" s="18"/>
      <c r="J528" s="18"/>
      <c r="K528" s="18"/>
      <c r="L528" s="88">
        <f>SUM(F528:K528)</f>
        <v>26120.5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129362.68</v>
      </c>
      <c r="G529" s="89">
        <f t="shared" ref="G529:L529" si="37">SUM(G526:G528)</f>
        <v>63133.96</v>
      </c>
      <c r="H529" s="89">
        <f t="shared" si="37"/>
        <v>95826.42</v>
      </c>
      <c r="I529" s="89">
        <f t="shared" si="37"/>
        <v>1447.77</v>
      </c>
      <c r="J529" s="89">
        <f t="shared" si="37"/>
        <v>0</v>
      </c>
      <c r="K529" s="89">
        <f t="shared" si="37"/>
        <v>0</v>
      </c>
      <c r="L529" s="89">
        <f t="shared" si="37"/>
        <v>289770.83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44628.39</v>
      </c>
      <c r="I531" s="18"/>
      <c r="J531" s="18"/>
      <c r="K531" s="18"/>
      <c r="L531" s="88">
        <f>SUM(F531:K531)</f>
        <v>44628.39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20050.439999999999</v>
      </c>
      <c r="I533" s="18"/>
      <c r="J533" s="18"/>
      <c r="K533" s="18"/>
      <c r="L533" s="88">
        <f>SUM(F533:K533)</f>
        <v>20050.439999999999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64678.83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64678.83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72650</v>
      </c>
      <c r="I541" s="18"/>
      <c r="J541" s="18"/>
      <c r="K541" s="18"/>
      <c r="L541" s="88">
        <f>SUM(F541:K541)</f>
        <v>72650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72650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72650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670909.1399999999</v>
      </c>
      <c r="G545" s="89">
        <f t="shared" ref="G545:L545" si="41">G524+G529+G534+G539+G544</f>
        <v>359220.36000000004</v>
      </c>
      <c r="H545" s="89">
        <f t="shared" si="41"/>
        <v>683355</v>
      </c>
      <c r="I545" s="89">
        <f t="shared" si="41"/>
        <v>5933.68</v>
      </c>
      <c r="J545" s="89">
        <f t="shared" si="41"/>
        <v>0</v>
      </c>
      <c r="K545" s="89">
        <f t="shared" si="41"/>
        <v>125</v>
      </c>
      <c r="L545" s="89">
        <f t="shared" si="41"/>
        <v>1719543.1800000002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1035780.26</v>
      </c>
      <c r="G549" s="87">
        <f>L526</f>
        <v>263650.33</v>
      </c>
      <c r="H549" s="87">
        <f>L531</f>
        <v>44628.39</v>
      </c>
      <c r="I549" s="87">
        <f>L536</f>
        <v>0</v>
      </c>
      <c r="J549" s="87">
        <f>L541</f>
        <v>72650</v>
      </c>
      <c r="K549" s="87">
        <f>SUM(F549:J549)</f>
        <v>1416708.98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256663.26</v>
      </c>
      <c r="G551" s="87">
        <f>L528</f>
        <v>26120.5</v>
      </c>
      <c r="H551" s="87">
        <f>L533</f>
        <v>20050.439999999999</v>
      </c>
      <c r="I551" s="87">
        <f>L538</f>
        <v>0</v>
      </c>
      <c r="J551" s="87">
        <f>L543</f>
        <v>0</v>
      </c>
      <c r="K551" s="87">
        <f>SUM(F551:J551)</f>
        <v>302834.2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1292443.52</v>
      </c>
      <c r="G552" s="89">
        <f t="shared" si="42"/>
        <v>289770.83</v>
      </c>
      <c r="H552" s="89">
        <f t="shared" si="42"/>
        <v>64678.83</v>
      </c>
      <c r="I552" s="89">
        <f t="shared" si="42"/>
        <v>0</v>
      </c>
      <c r="J552" s="89">
        <f t="shared" si="42"/>
        <v>72650</v>
      </c>
      <c r="K552" s="89">
        <f t="shared" si="42"/>
        <v>1719543.18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11352.93</v>
      </c>
      <c r="G575" s="18"/>
      <c r="H575" s="18">
        <v>38027.19</v>
      </c>
      <c r="I575" s="87">
        <f>SUM(F575:H575)</f>
        <v>49380.12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3350548.15</v>
      </c>
      <c r="I577" s="87">
        <f t="shared" si="47"/>
        <v>3350548.15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153184.17000000001</v>
      </c>
      <c r="I581" s="87">
        <f t="shared" si="47"/>
        <v>153184.17000000001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97770.43</v>
      </c>
      <c r="G582" s="18"/>
      <c r="H582" s="18">
        <v>93093.06</v>
      </c>
      <c r="I582" s="87">
        <f t="shared" si="47"/>
        <v>190863.49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186919.2</v>
      </c>
      <c r="I591" s="18"/>
      <c r="J591" s="18">
        <v>140054.39999999999</v>
      </c>
      <c r="K591" s="104">
        <f t="shared" ref="K591:K597" si="48">SUM(H591:J591)</f>
        <v>326973.59999999998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72650</v>
      </c>
      <c r="I592" s="18"/>
      <c r="J592" s="18"/>
      <c r="K592" s="104">
        <f t="shared" si="48"/>
        <v>72650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4609.41</v>
      </c>
      <c r="I594" s="18"/>
      <c r="J594" s="18"/>
      <c r="K594" s="104">
        <f t="shared" si="48"/>
        <v>4609.41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264178.61</v>
      </c>
      <c r="I598" s="108">
        <f>SUM(I591:I597)</f>
        <v>0</v>
      </c>
      <c r="J598" s="108">
        <f>SUM(J591:J597)</f>
        <v>140054.39999999999</v>
      </c>
      <c r="K598" s="108">
        <f>SUM(K591:K597)</f>
        <v>404233.00999999995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53157.64</v>
      </c>
      <c r="I604" s="18"/>
      <c r="J604" s="18"/>
      <c r="K604" s="104">
        <f>SUM(H604:J604)</f>
        <v>53157.64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53157.64</v>
      </c>
      <c r="I605" s="108">
        <f>SUM(I602:I604)</f>
        <v>0</v>
      </c>
      <c r="J605" s="108">
        <f>SUM(J602:J604)</f>
        <v>0</v>
      </c>
      <c r="K605" s="108">
        <f>SUM(K602:K604)</f>
        <v>53157.64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6800.47+9381.54</f>
        <v>16182.010000000002</v>
      </c>
      <c r="G611" s="18">
        <f>517.54+307.25+440.09+717.65</f>
        <v>1982.5299999999997</v>
      </c>
      <c r="H611" s="18"/>
      <c r="I611" s="18"/>
      <c r="J611" s="18"/>
      <c r="K611" s="18"/>
      <c r="L611" s="88">
        <f>SUM(F611:K611)</f>
        <v>18164.54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16182.010000000002</v>
      </c>
      <c r="G614" s="108">
        <f t="shared" si="49"/>
        <v>1982.5299999999997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18164.54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397533.66</v>
      </c>
      <c r="H617" s="109">
        <f>SUM(F52)</f>
        <v>397533.66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43286.239999999998</v>
      </c>
      <c r="H618" s="109">
        <f>SUM(G52)</f>
        <v>43286.239999999998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529074.26</v>
      </c>
      <c r="H621" s="109">
        <f>SUM(J52)</f>
        <v>529074.26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199308.68</v>
      </c>
      <c r="H622" s="109">
        <f>F476</f>
        <v>199308.68000000156</v>
      </c>
      <c r="I622" s="121" t="s">
        <v>101</v>
      </c>
      <c r="J622" s="109">
        <f t="shared" ref="J622:J655" si="50">G622-H622</f>
        <v>-1.57160684466362E-9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43155.64</v>
      </c>
      <c r="H623" s="109">
        <f>G476</f>
        <v>43155.640000000014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529074.26</v>
      </c>
      <c r="H626" s="109">
        <f>J476</f>
        <v>529074.26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10106401.340000002</v>
      </c>
      <c r="H627" s="104">
        <f>SUM(F468)</f>
        <v>10106401.340000002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161515.44</v>
      </c>
      <c r="H628" s="104">
        <f>SUM(G468)</f>
        <v>161515.44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55188.3</v>
      </c>
      <c r="H631" s="104">
        <f>SUM(J468)</f>
        <v>55188.3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10378598.359999999</v>
      </c>
      <c r="H632" s="104">
        <f>SUM(F472)</f>
        <v>10378598.359999999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76227.100000000006</v>
      </c>
      <c r="H634" s="104">
        <f>I369</f>
        <v>76227.099999999991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163568.79999999999</v>
      </c>
      <c r="H635" s="104">
        <f>SUM(G472)</f>
        <v>163568.79999999999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55188.3</v>
      </c>
      <c r="H637" s="164">
        <f>SUM(J468)</f>
        <v>55188.3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529074.26</v>
      </c>
      <c r="H640" s="104">
        <f>SUM(G461)</f>
        <v>529074.26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529074.26</v>
      </c>
      <c r="H642" s="104">
        <f>SUM(I461)</f>
        <v>529074.26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5188.3</v>
      </c>
      <c r="H644" s="104">
        <f>H408</f>
        <v>5188.2999999999993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55188.3</v>
      </c>
      <c r="H646" s="104">
        <f>L408</f>
        <v>55188.3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404233.00999999995</v>
      </c>
      <c r="H647" s="104">
        <f>L208+L226+L244</f>
        <v>404233.01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53157.64</v>
      </c>
      <c r="H648" s="104">
        <f>(J257+J338)-(J255+J336)</f>
        <v>53157.640000000007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264178.61</v>
      </c>
      <c r="H649" s="104">
        <f>H598</f>
        <v>264178.61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140054.39999999999</v>
      </c>
      <c r="H651" s="104">
        <f>J598</f>
        <v>140054.39999999999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8004.97</v>
      </c>
      <c r="H652" s="104">
        <f>K263+K345</f>
        <v>8004.97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6120258.7899999991</v>
      </c>
      <c r="G660" s="19">
        <f>(L229+L309+L359)</f>
        <v>0</v>
      </c>
      <c r="H660" s="19">
        <f>(L247+L328+L360)</f>
        <v>3960215.8999999994</v>
      </c>
      <c r="I660" s="19">
        <f>SUM(F660:H660)</f>
        <v>10080474.689999998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113957.53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113957.53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264178.61</v>
      </c>
      <c r="G662" s="19">
        <f>(L226+L306)-(J226+J306)</f>
        <v>0</v>
      </c>
      <c r="H662" s="19">
        <f>(L244+L325)-(J244+J325)</f>
        <v>140054.39999999999</v>
      </c>
      <c r="I662" s="19">
        <f>SUM(F662:H662)</f>
        <v>404233.01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180445.54</v>
      </c>
      <c r="G663" s="199">
        <f>SUM(G575:G587)+SUM(I602:I604)+L612</f>
        <v>0</v>
      </c>
      <c r="H663" s="199">
        <f>SUM(H575:H587)+SUM(J602:J604)+L613</f>
        <v>3634852.57</v>
      </c>
      <c r="I663" s="19">
        <f>SUM(F663:H663)</f>
        <v>3815298.11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5561677.1099999994</v>
      </c>
      <c r="G664" s="19">
        <f>G660-SUM(G661:G663)</f>
        <v>0</v>
      </c>
      <c r="H664" s="19">
        <f>H660-SUM(H661:H663)</f>
        <v>185308.9299999997</v>
      </c>
      <c r="I664" s="19">
        <f>I660-SUM(I661:I663)</f>
        <v>5746986.0399999972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415.37</v>
      </c>
      <c r="G665" s="248"/>
      <c r="H665" s="248"/>
      <c r="I665" s="19">
        <f>SUM(F665:H665)</f>
        <v>415.37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13389.69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13835.82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-185308.93</v>
      </c>
      <c r="I669" s="19">
        <f>SUM(F669:H669)</f>
        <v>-185308.93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13389.69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13389.69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50" sqref="F5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Strafford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1796362.97</v>
      </c>
      <c r="C9" s="229">
        <f>'DOE25'!G197+'DOE25'!G215+'DOE25'!G233+'DOE25'!G276+'DOE25'!G295+'DOE25'!G314</f>
        <v>892269.67</v>
      </c>
    </row>
    <row r="10" spans="1:3" x14ac:dyDescent="0.2">
      <c r="A10" t="s">
        <v>773</v>
      </c>
      <c r="B10" s="240">
        <v>1728616.73</v>
      </c>
      <c r="C10" s="240">
        <v>873595.37</v>
      </c>
    </row>
    <row r="11" spans="1:3" x14ac:dyDescent="0.2">
      <c r="A11" t="s">
        <v>774</v>
      </c>
      <c r="B11" s="240">
        <v>38578.839999999997</v>
      </c>
      <c r="C11" s="240">
        <v>15053.66</v>
      </c>
    </row>
    <row r="12" spans="1:3" x14ac:dyDescent="0.2">
      <c r="A12" t="s">
        <v>775</v>
      </c>
      <c r="B12" s="240">
        <f>6542.5+22624.9</f>
        <v>29167.4</v>
      </c>
      <c r="C12" s="240">
        <v>3620.64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1796362.97</v>
      </c>
      <c r="C13" s="231">
        <f>SUM(C10:C12)</f>
        <v>892269.67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541546.46</v>
      </c>
      <c r="C18" s="229">
        <f>'DOE25'!G198+'DOE25'!G216+'DOE25'!G234+'DOE25'!G277+'DOE25'!G296+'DOE25'!G315</f>
        <v>296086.40000000002</v>
      </c>
    </row>
    <row r="19" spans="1:3" x14ac:dyDescent="0.2">
      <c r="A19" t="s">
        <v>773</v>
      </c>
      <c r="B19" s="240">
        <f>182943.88+10000+9381.54</f>
        <v>202325.42</v>
      </c>
      <c r="C19" s="240">
        <v>103169.78</v>
      </c>
    </row>
    <row r="20" spans="1:3" x14ac:dyDescent="0.2">
      <c r="A20" t="s">
        <v>774</v>
      </c>
      <c r="B20" s="240">
        <v>290470.71999999997</v>
      </c>
      <c r="C20" s="240">
        <v>184436.39</v>
      </c>
    </row>
    <row r="21" spans="1:3" x14ac:dyDescent="0.2">
      <c r="A21" t="s">
        <v>775</v>
      </c>
      <c r="B21" s="240">
        <f>31670.32+980+16100</f>
        <v>48750.32</v>
      </c>
      <c r="C21" s="240">
        <v>8480.23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541546.46</v>
      </c>
      <c r="C22" s="231">
        <f>SUM(C19:C21)</f>
        <v>296086.40000000002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34172.519999999997</v>
      </c>
      <c r="C36" s="235">
        <f>'DOE25'!G200+'DOE25'!G218+'DOE25'!G236+'DOE25'!G279+'DOE25'!G298+'DOE25'!G317</f>
        <v>5538.19</v>
      </c>
    </row>
    <row r="37" spans="1:3" x14ac:dyDescent="0.2">
      <c r="A37" t="s">
        <v>773</v>
      </c>
      <c r="B37" s="240">
        <f>6800.47+2800+5300</f>
        <v>14900.470000000001</v>
      </c>
      <c r="C37" s="240">
        <v>4035.84</v>
      </c>
    </row>
    <row r="38" spans="1:3" x14ac:dyDescent="0.2">
      <c r="A38" t="s">
        <v>774</v>
      </c>
      <c r="B38" s="240">
        <f>2500+2625</f>
        <v>5125</v>
      </c>
      <c r="C38" s="240">
        <v>764.91</v>
      </c>
    </row>
    <row r="39" spans="1:3" x14ac:dyDescent="0.2">
      <c r="A39" t="s">
        <v>775</v>
      </c>
      <c r="B39" s="240">
        <v>14147.05</v>
      </c>
      <c r="C39" s="240">
        <v>737.44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34172.520000000004</v>
      </c>
      <c r="C40" s="231">
        <f>SUM(C37:C39)</f>
        <v>5538.1900000000005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50" zoomScaleNormal="150" workbookViewId="0">
      <pane ySplit="4" topLeftCell="A5" activePane="bottomLeft" state="frozen"/>
      <selection activeCell="F46" sqref="F46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Strafford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7543681.9900000002</v>
      </c>
      <c r="D5" s="20">
        <f>SUM('DOE25'!L197:L200)+SUM('DOE25'!L215:L218)+SUM('DOE25'!L233:L236)-F5-G5</f>
        <v>7503278.4400000004</v>
      </c>
      <c r="E5" s="243"/>
      <c r="F5" s="255">
        <f>SUM('DOE25'!J197:J200)+SUM('DOE25'!J215:J218)+SUM('DOE25'!J233:J236)</f>
        <v>38170.050000000003</v>
      </c>
      <c r="G5" s="53">
        <f>SUM('DOE25'!K197:K200)+SUM('DOE25'!K215:K218)+SUM('DOE25'!K233:K236)</f>
        <v>2233.5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439966.80999999994</v>
      </c>
      <c r="D6" s="20">
        <f>'DOE25'!L202+'DOE25'!L220+'DOE25'!L238-F6-G6</f>
        <v>437987.80999999994</v>
      </c>
      <c r="E6" s="243"/>
      <c r="F6" s="255">
        <f>'DOE25'!J202+'DOE25'!J220+'DOE25'!J238</f>
        <v>0</v>
      </c>
      <c r="G6" s="53">
        <f>'DOE25'!K202+'DOE25'!K220+'DOE25'!K238</f>
        <v>1979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163705.51999999999</v>
      </c>
      <c r="D7" s="20">
        <f>'DOE25'!L203+'DOE25'!L221+'DOE25'!L239-F7-G7</f>
        <v>163705.51999999999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294313.49000000005</v>
      </c>
      <c r="D8" s="243"/>
      <c r="E8" s="20">
        <f>'DOE25'!L204+'DOE25'!L222+'DOE25'!L240-F8-G8-D9-D11</f>
        <v>293271.31000000006</v>
      </c>
      <c r="F8" s="255">
        <f>'DOE25'!J204+'DOE25'!J222+'DOE25'!J240</f>
        <v>0</v>
      </c>
      <c r="G8" s="53">
        <f>'DOE25'!K204+'DOE25'!K222+'DOE25'!K240</f>
        <v>1042.18</v>
      </c>
      <c r="H8" s="259"/>
    </row>
    <row r="9" spans="1:9" x14ac:dyDescent="0.2">
      <c r="A9" s="32">
        <v>2310</v>
      </c>
      <c r="B9" t="s">
        <v>812</v>
      </c>
      <c r="C9" s="245">
        <f t="shared" si="0"/>
        <v>60893.03</v>
      </c>
      <c r="D9" s="244">
        <v>60893.03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10350</v>
      </c>
      <c r="D10" s="243"/>
      <c r="E10" s="244">
        <v>10350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77715.650000000009</v>
      </c>
      <c r="D11" s="244">
        <f>64678.73+13036.92</f>
        <v>77715.650000000009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437730.84</v>
      </c>
      <c r="D12" s="20">
        <f>'DOE25'!L205+'DOE25'!L223+'DOE25'!L241-F12-G12</f>
        <v>434195.79000000004</v>
      </c>
      <c r="E12" s="243"/>
      <c r="F12" s="255">
        <f>'DOE25'!J205+'DOE25'!J223+'DOE25'!J241</f>
        <v>0</v>
      </c>
      <c r="G12" s="53">
        <f>'DOE25'!K205+'DOE25'!K223+'DOE25'!K241</f>
        <v>3535.05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494665.5500000001</v>
      </c>
      <c r="D14" s="20">
        <f>'DOE25'!L207+'DOE25'!L225+'DOE25'!L243-F14-G14</f>
        <v>479677.96000000008</v>
      </c>
      <c r="E14" s="243"/>
      <c r="F14" s="255">
        <f>'DOE25'!J207+'DOE25'!J225+'DOE25'!J243</f>
        <v>14987.59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404233.01</v>
      </c>
      <c r="D15" s="20">
        <f>'DOE25'!L208+'DOE25'!L226+'DOE25'!L244-F15-G15</f>
        <v>404233.01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403687.5</v>
      </c>
      <c r="D25" s="243"/>
      <c r="E25" s="243"/>
      <c r="F25" s="258"/>
      <c r="G25" s="256"/>
      <c r="H25" s="257">
        <f>'DOE25'!L260+'DOE25'!L261+'DOE25'!L341+'DOE25'!L342</f>
        <v>403687.5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91334.87999999999</v>
      </c>
      <c r="D29" s="20">
        <f>'DOE25'!L358+'DOE25'!L359+'DOE25'!L360-'DOE25'!I367-F29-G29</f>
        <v>91281.37999999999</v>
      </c>
      <c r="E29" s="243"/>
      <c r="F29" s="255">
        <f>'DOE25'!J358+'DOE25'!J359+'DOE25'!J360</f>
        <v>0</v>
      </c>
      <c r="G29" s="53">
        <f>'DOE25'!K358+'DOE25'!K359+'DOE25'!K360</f>
        <v>53.5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9652968.5900000017</v>
      </c>
      <c r="E33" s="246">
        <f>SUM(E5:E31)</f>
        <v>303621.31000000006</v>
      </c>
      <c r="F33" s="246">
        <f>SUM(F5:F31)</f>
        <v>53157.64</v>
      </c>
      <c r="G33" s="246">
        <f>SUM(G5:G31)</f>
        <v>8843.23</v>
      </c>
      <c r="H33" s="246">
        <f>SUM(H5:H31)</f>
        <v>403687.5</v>
      </c>
    </row>
    <row r="35" spans="2:8" ht="12" thickBot="1" x14ac:dyDescent="0.25">
      <c r="B35" s="253" t="s">
        <v>841</v>
      </c>
      <c r="D35" s="254">
        <f>E33</f>
        <v>303621.31000000006</v>
      </c>
      <c r="E35" s="249"/>
    </row>
    <row r="36" spans="2:8" ht="12" thickTop="1" x14ac:dyDescent="0.2">
      <c r="B36" t="s">
        <v>809</v>
      </c>
      <c r="D36" s="20">
        <f>D33</f>
        <v>9652968.5900000017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380941.98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529074.26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22898.46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16559.18</v>
      </c>
      <c r="D13" s="95">
        <f>'DOE25'!G14</f>
        <v>4576.82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15810.96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397533.66</v>
      </c>
      <c r="D18" s="41">
        <f>SUM(D8:D17)</f>
        <v>43286.239999999998</v>
      </c>
      <c r="E18" s="41">
        <f>SUM(E8:E17)</f>
        <v>0</v>
      </c>
      <c r="F18" s="41">
        <f>SUM(F8:F17)</f>
        <v>0</v>
      </c>
      <c r="G18" s="41">
        <f>SUM(G8:G17)</f>
        <v>529074.26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22898.46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130.6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176607.72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-1281.2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198224.97999999998</v>
      </c>
      <c r="D31" s="41">
        <f>SUM(D21:D30)</f>
        <v>130.6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15810.96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32.5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27344.68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529074.26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199276.18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199308.68</v>
      </c>
      <c r="D50" s="41">
        <f>SUM(D34:D49)</f>
        <v>43155.64</v>
      </c>
      <c r="E50" s="41">
        <f>SUM(E34:E49)</f>
        <v>0</v>
      </c>
      <c r="F50" s="41">
        <f>SUM(F34:F49)</f>
        <v>0</v>
      </c>
      <c r="G50" s="41">
        <f>SUM(G34:G49)</f>
        <v>529074.26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397533.66</v>
      </c>
      <c r="D51" s="41">
        <f>D50+D31</f>
        <v>43286.239999999998</v>
      </c>
      <c r="E51" s="41">
        <f>E50+E31</f>
        <v>0</v>
      </c>
      <c r="F51" s="41">
        <f>F50+F31</f>
        <v>0</v>
      </c>
      <c r="G51" s="41">
        <f>G50+G31</f>
        <v>529074.26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6858597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6792.5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3169.46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5188.3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113957.53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22146.32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32108.28</v>
      </c>
      <c r="D62" s="130">
        <f>SUM(D57:D61)</f>
        <v>113957.53</v>
      </c>
      <c r="E62" s="130">
        <f>SUM(E57:E61)</f>
        <v>0</v>
      </c>
      <c r="F62" s="130">
        <f>SUM(F57:F61)</f>
        <v>0</v>
      </c>
      <c r="G62" s="130">
        <f>SUM(G57:G61)</f>
        <v>5188.3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6890705.2800000003</v>
      </c>
      <c r="D63" s="22">
        <f>D56+D62</f>
        <v>113957.53</v>
      </c>
      <c r="E63" s="22">
        <f>E56+E62</f>
        <v>0</v>
      </c>
      <c r="F63" s="22">
        <f>F56+F62</f>
        <v>0</v>
      </c>
      <c r="G63" s="22">
        <f>G56+G62</f>
        <v>5188.3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2058037.35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1049635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6849.25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3114521.6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68482.5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2383.06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68482.5</v>
      </c>
      <c r="D78" s="130">
        <f>SUM(D72:D77)</f>
        <v>2383.06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3183004.1</v>
      </c>
      <c r="D81" s="130">
        <f>SUM(D79:D80)+D78+D70</f>
        <v>2383.06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32691.96</v>
      </c>
      <c r="D88" s="95">
        <f>SUM('DOE25'!G153:G161)</f>
        <v>37169.879999999997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32691.96</v>
      </c>
      <c r="D91" s="131">
        <f>SUM(D85:D90)</f>
        <v>37169.879999999997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8004.97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8004.97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10106401.340000002</v>
      </c>
      <c r="D104" s="86">
        <f>D63+D81+D91+D103</f>
        <v>161515.44</v>
      </c>
      <c r="E104" s="86">
        <f>E63+E81+E91+E103</f>
        <v>0</v>
      </c>
      <c r="F104" s="86">
        <f>F63+F81+F91+F103</f>
        <v>0</v>
      </c>
      <c r="G104" s="86">
        <f>G63+G81+G103</f>
        <v>55188.3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6201187.3200000003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1292443.52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50051.15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7543681.9900000002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439966.80999999994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163705.51999999999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432922.17000000004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437730.84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494665.5500000001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404233.01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163568.79999999999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2373223.9000000004</v>
      </c>
      <c r="D128" s="86">
        <f>SUM(D118:D127)</f>
        <v>163568.79999999999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210000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193687.5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8004.97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55188.3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-5188.3000000000029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461692.47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10378598.360000001</v>
      </c>
      <c r="D145" s="86">
        <f>(D115+D128+D144)</f>
        <v>163568.79999999999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5600000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210000</v>
      </c>
    </row>
    <row r="159" spans="1:9" x14ac:dyDescent="0.2">
      <c r="A159" s="22" t="s">
        <v>35</v>
      </c>
      <c r="B159" s="137">
        <f>'DOE25'!F498</f>
        <v>3890000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3890000</v>
      </c>
    </row>
    <row r="160" spans="1:9" x14ac:dyDescent="0.2">
      <c r="A160" s="22" t="s">
        <v>36</v>
      </c>
      <c r="B160" s="137">
        <f>'DOE25'!F499</f>
        <v>1380069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1380069</v>
      </c>
    </row>
    <row r="161" spans="1:7" x14ac:dyDescent="0.2">
      <c r="A161" s="22" t="s">
        <v>37</v>
      </c>
      <c r="B161" s="137">
        <f>'DOE25'!F500</f>
        <v>5270069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5270069</v>
      </c>
    </row>
    <row r="162" spans="1:7" x14ac:dyDescent="0.2">
      <c r="A162" s="22" t="s">
        <v>38</v>
      </c>
      <c r="B162" s="137">
        <f>'DOE25'!F501</f>
        <v>210000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210000</v>
      </c>
    </row>
    <row r="163" spans="1:7" x14ac:dyDescent="0.2">
      <c r="A163" s="22" t="s">
        <v>39</v>
      </c>
      <c r="B163" s="137">
        <f>'DOE25'!F502</f>
        <v>185138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185138</v>
      </c>
    </row>
    <row r="164" spans="1:7" x14ac:dyDescent="0.2">
      <c r="A164" s="22" t="s">
        <v>246</v>
      </c>
      <c r="B164" s="137">
        <f>'DOE25'!F503</f>
        <v>395138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395138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Strafford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13390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13390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6201187</v>
      </c>
      <c r="D10" s="182">
        <f>ROUND((C10/$C$28)*100,1)</f>
        <v>61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1292444</v>
      </c>
      <c r="D11" s="182">
        <f>ROUND((C11/$C$28)*100,1)</f>
        <v>12.7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50051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439967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163706</v>
      </c>
      <c r="D16" s="182">
        <f t="shared" si="0"/>
        <v>1.6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432922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437731</v>
      </c>
      <c r="D18" s="182">
        <f t="shared" si="0"/>
        <v>4.3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494666</v>
      </c>
      <c r="D20" s="182">
        <f t="shared" si="0"/>
        <v>4.9000000000000004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404233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193688</v>
      </c>
      <c r="D25" s="182">
        <f t="shared" si="0"/>
        <v>1.9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49611.47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10160206.470000001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10160206.470000001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210000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6858597</v>
      </c>
      <c r="D35" s="182">
        <f t="shared" ref="D35:D40" si="1">ROUND((C35/$C$41)*100,1)</f>
        <v>67.599999999999994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37296.580000000075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3107672</v>
      </c>
      <c r="D37" s="182">
        <f t="shared" si="1"/>
        <v>30.6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77715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69862</v>
      </c>
      <c r="D39" s="182">
        <f t="shared" si="1"/>
        <v>0.7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10151142.58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Strafford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2018-09-19T12:52:00Z</cp:lastPrinted>
  <dcterms:created xsi:type="dcterms:W3CDTF">1997-12-04T19:04:30Z</dcterms:created>
  <dcterms:modified xsi:type="dcterms:W3CDTF">2018-11-30T17:38:49Z</dcterms:modified>
</cp:coreProperties>
</file>