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32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33" i="1" l="1"/>
  <c r="G233" i="1"/>
  <c r="H243" i="1"/>
  <c r="I239" i="1"/>
  <c r="J239" i="1"/>
  <c r="K222" i="1"/>
  <c r="G239" i="1"/>
  <c r="H234" i="1"/>
  <c r="F233" i="1"/>
  <c r="B19" i="12" l="1"/>
  <c r="B11" i="12"/>
  <c r="I360" i="1"/>
  <c r="I359" i="1"/>
  <c r="I358" i="1"/>
  <c r="J604" i="1" l="1"/>
  <c r="H604" i="1"/>
  <c r="I604" i="1"/>
  <c r="I243" i="1"/>
  <c r="J225" i="1"/>
  <c r="I225" i="1"/>
  <c r="H225" i="1"/>
  <c r="J221" i="1"/>
  <c r="I221" i="1"/>
  <c r="I220" i="1"/>
  <c r="J216" i="1"/>
  <c r="I216" i="1"/>
  <c r="J215" i="1"/>
  <c r="I215" i="1"/>
  <c r="J243" i="1"/>
  <c r="I238" i="1"/>
  <c r="J234" i="1"/>
  <c r="I234" i="1"/>
  <c r="J233" i="1"/>
  <c r="H207" i="1"/>
  <c r="J203" i="1"/>
  <c r="I203" i="1"/>
  <c r="I202" i="1"/>
  <c r="I198" i="1"/>
  <c r="J591" i="1" l="1"/>
  <c r="I591" i="1"/>
  <c r="H591" i="1"/>
  <c r="G244" i="1"/>
  <c r="G240" i="1"/>
  <c r="G226" i="1"/>
  <c r="G222" i="1"/>
  <c r="G221" i="1"/>
  <c r="G20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C113" i="2" s="1"/>
  <c r="L332" i="1"/>
  <c r="L254" i="1"/>
  <c r="L268" i="1"/>
  <c r="C142" i="2" s="1"/>
  <c r="L269" i="1"/>
  <c r="L349" i="1"/>
  <c r="L350" i="1"/>
  <c r="I665" i="1"/>
  <c r="I670" i="1"/>
  <c r="G662" i="1"/>
  <c r="I669" i="1"/>
  <c r="C42" i="10"/>
  <c r="C3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E113" i="2"/>
  <c r="D115" i="2"/>
  <c r="F115" i="2"/>
  <c r="G115" i="2"/>
  <c r="C119" i="2"/>
  <c r="E120" i="2"/>
  <c r="C122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J641" i="1" s="1"/>
  <c r="F460" i="1"/>
  <c r="F461" i="1" s="1"/>
  <c r="H639" i="1" s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G643" i="1"/>
  <c r="H643" i="1"/>
  <c r="J643" i="1" s="1"/>
  <c r="G644" i="1"/>
  <c r="G650" i="1"/>
  <c r="G651" i="1"/>
  <c r="G652" i="1"/>
  <c r="H652" i="1"/>
  <c r="G653" i="1"/>
  <c r="H653" i="1"/>
  <c r="G654" i="1"/>
  <c r="H654" i="1"/>
  <c r="H655" i="1"/>
  <c r="J655" i="1" s="1"/>
  <c r="L256" i="1"/>
  <c r="D18" i="13"/>
  <c r="C18" i="13" s="1"/>
  <c r="D19" i="13"/>
  <c r="C19" i="13" s="1"/>
  <c r="E78" i="2"/>
  <c r="F112" i="1"/>
  <c r="L433" i="1"/>
  <c r="I169" i="1"/>
  <c r="H476" i="1"/>
  <c r="H624" i="1" s="1"/>
  <c r="I476" i="1"/>
  <c r="H625" i="1" s="1"/>
  <c r="G338" i="1"/>
  <c r="G352" i="1" s="1"/>
  <c r="J140" i="1"/>
  <c r="F571" i="1"/>
  <c r="H140" i="1"/>
  <c r="L401" i="1"/>
  <c r="C139" i="2" s="1"/>
  <c r="F22" i="13"/>
  <c r="C22" i="13" s="1"/>
  <c r="L560" i="1"/>
  <c r="J545" i="1"/>
  <c r="G192" i="1"/>
  <c r="H192" i="1"/>
  <c r="C35" i="10"/>
  <c r="G36" i="2"/>
  <c r="L565" i="1"/>
  <c r="J624" i="1" l="1"/>
  <c r="H112" i="1"/>
  <c r="L544" i="1"/>
  <c r="D91" i="2"/>
  <c r="C25" i="10"/>
  <c r="G112" i="1"/>
  <c r="D17" i="13"/>
  <c r="C17" i="13" s="1"/>
  <c r="E16" i="13"/>
  <c r="C16" i="13" s="1"/>
  <c r="E13" i="13"/>
  <c r="C13" i="13" s="1"/>
  <c r="H25" i="13"/>
  <c r="L614" i="1"/>
  <c r="K545" i="1"/>
  <c r="G408" i="1"/>
  <c r="H645" i="1" s="1"/>
  <c r="L382" i="1"/>
  <c r="G636" i="1" s="1"/>
  <c r="J636" i="1" s="1"/>
  <c r="J338" i="1"/>
  <c r="J352" i="1" s="1"/>
  <c r="G164" i="2"/>
  <c r="G156" i="2"/>
  <c r="C91" i="2"/>
  <c r="D81" i="2"/>
  <c r="G62" i="2"/>
  <c r="G63" i="2" s="1"/>
  <c r="H662" i="1"/>
  <c r="J625" i="1"/>
  <c r="E81" i="2"/>
  <c r="C26" i="10"/>
  <c r="K500" i="1"/>
  <c r="I452" i="1"/>
  <c r="G157" i="2"/>
  <c r="E103" i="2"/>
  <c r="C70" i="2"/>
  <c r="E31" i="2"/>
  <c r="F18" i="2"/>
  <c r="E110" i="2"/>
  <c r="F476" i="1"/>
  <c r="H622" i="1" s="1"/>
  <c r="J622" i="1" s="1"/>
  <c r="J644" i="1"/>
  <c r="J640" i="1"/>
  <c r="J639" i="1"/>
  <c r="I460" i="1"/>
  <c r="I461" i="1" s="1"/>
  <c r="H642" i="1" s="1"/>
  <c r="J476" i="1"/>
  <c r="H626" i="1" s="1"/>
  <c r="I446" i="1"/>
  <c r="G642" i="1" s="1"/>
  <c r="J552" i="1"/>
  <c r="L539" i="1"/>
  <c r="K549" i="1"/>
  <c r="K551" i="1"/>
  <c r="H552" i="1"/>
  <c r="L534" i="1"/>
  <c r="I545" i="1"/>
  <c r="G552" i="1"/>
  <c r="L529" i="1"/>
  <c r="G545" i="1"/>
  <c r="K550" i="1"/>
  <c r="L524" i="1"/>
  <c r="K598" i="1"/>
  <c r="G647" i="1" s="1"/>
  <c r="J651" i="1"/>
  <c r="G645" i="1"/>
  <c r="J645" i="1" s="1"/>
  <c r="J634" i="1"/>
  <c r="K257" i="1"/>
  <c r="K271" i="1" s="1"/>
  <c r="J257" i="1"/>
  <c r="J271" i="1" s="1"/>
  <c r="I257" i="1"/>
  <c r="I271" i="1" s="1"/>
  <c r="C21" i="10"/>
  <c r="G649" i="1"/>
  <c r="J649" i="1" s="1"/>
  <c r="D15" i="13"/>
  <c r="C15" i="13" s="1"/>
  <c r="C124" i="2"/>
  <c r="C123" i="2"/>
  <c r="D14" i="13"/>
  <c r="C14" i="13" s="1"/>
  <c r="C121" i="2"/>
  <c r="C12" i="10"/>
  <c r="H257" i="1"/>
  <c r="H271" i="1" s="1"/>
  <c r="H647" i="1"/>
  <c r="G257" i="1"/>
  <c r="G271" i="1" s="1"/>
  <c r="C20" i="10"/>
  <c r="C18" i="10"/>
  <c r="D12" i="13"/>
  <c r="C12" i="13" s="1"/>
  <c r="C120" i="2"/>
  <c r="C17" i="10"/>
  <c r="E8" i="13"/>
  <c r="C8" i="13" s="1"/>
  <c r="D7" i="13"/>
  <c r="C7" i="13" s="1"/>
  <c r="L247" i="1"/>
  <c r="L229" i="1"/>
  <c r="C118" i="2"/>
  <c r="C15" i="10"/>
  <c r="D6" i="13"/>
  <c r="C6" i="13" s="1"/>
  <c r="C13" i="10"/>
  <c r="C112" i="2"/>
  <c r="A40" i="12"/>
  <c r="C110" i="2"/>
  <c r="L211" i="1"/>
  <c r="F257" i="1"/>
  <c r="F271" i="1" s="1"/>
  <c r="D5" i="13"/>
  <c r="C5" i="13" s="1"/>
  <c r="C109" i="2"/>
  <c r="I662" i="1"/>
  <c r="L328" i="1"/>
  <c r="E121" i="2"/>
  <c r="E119" i="2"/>
  <c r="H338" i="1"/>
  <c r="H352" i="1" s="1"/>
  <c r="C10" i="10"/>
  <c r="E118" i="2"/>
  <c r="E128" i="2" s="1"/>
  <c r="F338" i="1"/>
  <c r="F352" i="1" s="1"/>
  <c r="C11" i="10"/>
  <c r="L309" i="1"/>
  <c r="E123" i="2"/>
  <c r="C16" i="10"/>
  <c r="E109" i="2"/>
  <c r="A13" i="12"/>
  <c r="L290" i="1"/>
  <c r="G476" i="1"/>
  <c r="H623" i="1" s="1"/>
  <c r="J623" i="1" s="1"/>
  <c r="C18" i="2"/>
  <c r="G661" i="1"/>
  <c r="L362" i="1"/>
  <c r="C27" i="10" s="1"/>
  <c r="H661" i="1"/>
  <c r="D29" i="13"/>
  <c r="C29" i="13" s="1"/>
  <c r="F661" i="1"/>
  <c r="D127" i="2"/>
  <c r="D128" i="2" s="1"/>
  <c r="D145" i="2" s="1"/>
  <c r="C62" i="2"/>
  <c r="C63" i="2" s="1"/>
  <c r="H52" i="1"/>
  <c r="H619" i="1" s="1"/>
  <c r="J619" i="1" s="1"/>
  <c r="J617" i="1"/>
  <c r="D18" i="2"/>
  <c r="C78" i="2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E104" i="2" l="1"/>
  <c r="E115" i="2"/>
  <c r="C25" i="13"/>
  <c r="H33" i="13"/>
  <c r="D104" i="2"/>
  <c r="C104" i="2"/>
  <c r="H648" i="1"/>
  <c r="J648" i="1" s="1"/>
  <c r="K552" i="1"/>
  <c r="L545" i="1"/>
  <c r="J647" i="1"/>
  <c r="H646" i="1"/>
  <c r="J646" i="1" s="1"/>
  <c r="G104" i="2"/>
  <c r="C128" i="2"/>
  <c r="C115" i="2"/>
  <c r="E33" i="13"/>
  <c r="D35" i="13" s="1"/>
  <c r="H660" i="1"/>
  <c r="H664" i="1" s="1"/>
  <c r="H667" i="1" s="1"/>
  <c r="L257" i="1"/>
  <c r="L271" i="1" s="1"/>
  <c r="G632" i="1" s="1"/>
  <c r="J632" i="1" s="1"/>
  <c r="G660" i="1"/>
  <c r="G664" i="1" s="1"/>
  <c r="G667" i="1" s="1"/>
  <c r="C28" i="10"/>
  <c r="D24" i="10" s="1"/>
  <c r="L338" i="1"/>
  <c r="L352" i="1" s="1"/>
  <c r="G633" i="1" s="1"/>
  <c r="J633" i="1" s="1"/>
  <c r="E145" i="2"/>
  <c r="F660" i="1"/>
  <c r="I661" i="1"/>
  <c r="G635" i="1"/>
  <c r="J635" i="1" s="1"/>
  <c r="F51" i="2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D27" i="10"/>
  <c r="D15" i="10"/>
  <c r="D12" i="10"/>
  <c r="D17" i="10"/>
  <c r="D19" i="10"/>
  <c r="D10" i="10"/>
  <c r="D13" i="10"/>
  <c r="D23" i="10"/>
  <c r="D22" i="10"/>
  <c r="D18" i="10"/>
  <c r="D26" i="10"/>
  <c r="C30" i="10"/>
  <c r="D11" i="10"/>
  <c r="D16" i="10"/>
  <c r="D20" i="10"/>
  <c r="D25" i="10"/>
  <c r="D21" i="10"/>
  <c r="G672" i="1"/>
  <c r="C5" i="10" s="1"/>
  <c r="H672" i="1"/>
  <c r="C6" i="10" s="1"/>
  <c r="F664" i="1"/>
  <c r="F667" i="1" s="1"/>
  <c r="D33" i="13"/>
  <c r="D36" i="13" s="1"/>
  <c r="H656" i="1"/>
  <c r="C41" i="10"/>
  <c r="D38" i="10" s="1"/>
  <c r="I667" i="1" l="1"/>
  <c r="F672" i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<sst xmlns="http://schemas.openxmlformats.org/spreadsheetml/2006/main" count="3964" uniqueCount="919">
  <si>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</si>
  <si>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</si>
  <si>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</si>
  <si>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</si>
  <si>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</si>
  <si>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</si>
  <si>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</si>
  <si>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</si>
  <si>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</si>
  <si>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</si>
  <si>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</si>
  <si>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</si>
  <si>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</si>
  <si>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</si>
  <si>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</si>
  <si>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</si>
  <si>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</si>
  <si>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</si>
  <si>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</si>
  <si>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</si>
  <si>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</si>
  <si>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</si>
  <si>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</si>
  <si>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</si>
  <si>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</si>
  <si>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</si>
  <si>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</si>
  <si>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</si>
  <si>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</si>
  <si>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</si>
  <si>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</si>
  <si>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</si>
  <si>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</si>
  <si>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</si>
  <si>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</si>
  <si>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</si>
  <si>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</si>
  <si>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</si>
  <si>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</si>
  <si>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</si>
  <si>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</si>
  <si>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</si>
  <si>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</si>
  <si>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</si>
  <si>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</si>
  <si>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</si>
  <si>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</si>
  <si>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</si>
  <si>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</si>
  <si>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</si>
  <si>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</si>
  <si>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</si>
  <si>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</si>
  <si>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</si>
  <si>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</si>
  <si>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</si>
  <si>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</si>
  <si>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</si>
  <si>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</si>
  <si>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</si>
  <si>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</si>
  <si>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</si>
  <si>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</si>
  <si>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</si>
  <si>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</si>
  <si>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</si>
  <si>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</si>
  <si>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</si>
  <si>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</si>
  <si>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</si>
  <si>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</si>
  <si>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</si>
  <si>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</si>
  <si>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</si>
  <si>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</si>
  <si>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</si>
  <si>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</si>
  <si>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</si>
  <si>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</si>
  <si>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</si>
  <si>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</si>
  <si>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</si>
  <si>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</si>
  <si>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</si>
  <si>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</si>
  <si>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</si>
  <si>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</si>
  <si>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</si>
  <si>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</si>
  <si>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</si>
  <si>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</si>
  <si>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</si>
  <si>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</si>
  <si>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</si>
  <si>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</si>
  <si>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</si>
  <si>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</si>
  <si>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</si>
  <si>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</si>
  <si>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</si>
  <si>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</si>
  <si>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</si>
  <si>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</si>
  <si>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</si>
  <si>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</si>
  <si>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</si>
  <si>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</si>
  <si>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</si>
  <si>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</si>
  <si>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</si>
  <si>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</si>
  <si>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</si>
  <si>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</si>
  <si>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</si>
  <si>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</si>
  <si>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</si>
  <si>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</si>
  <si>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</si>
  <si>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</si>
  <si>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</si>
  <si>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</si>
  <si>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</si>
  <si>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</si>
  <si>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</si>
  <si>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</si>
  <si>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</si>
  <si>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</si>
  <si>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</si>
  <si>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</si>
  <si>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</si>
  <si>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</si>
  <si>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</si>
  <si>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</si>
  <si>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</si>
  <si>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</si>
  <si>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</si>
  <si>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</si>
  <si>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</si>
  <si>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</si>
  <si>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</si>
  <si>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</si>
  <si>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</si>
  <si>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</si>
  <si>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</si>
  <si>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</si>
  <si>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</si>
  <si>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</si>
  <si>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</si>
  <si>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</si>
  <si>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</si>
  <si>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</si>
  <si>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</si>
  <si>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</si>
  <si>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</si>
  <si>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</si>
  <si>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</si>
  <si>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</si>
  <si>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</si>
  <si>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</si>
  <si>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</si>
  <si>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</si>
  <si>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</si>
  <si>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</si>
  <si>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</si>
  <si>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</si>
  <si>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</si>
  <si>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</si>
  <si>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</si>
  <si>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</si>
  <si>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</si>
  <si>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</si>
  <si>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</si>
  <si>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</si>
  <si>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</si>
  <si>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</si>
  <si>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</si>
  <si>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</si>
  <si>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</si>
  <si>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</si>
  <si>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</si>
  <si>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</si>
  <si>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</si>
  <si>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</si>
  <si>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</si>
  <si>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</si>
  <si>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</si>
  <si>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</si>
  <si>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</si>
  <si>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</si>
  <si>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</si>
  <si>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</si>
  <si>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</si>
  <si>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</si>
  <si>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</si>
  <si>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</si>
  <si>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</si>
  <si>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</si>
  <si>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</si>
  <si>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</si>
  <si>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</si>
  <si>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</si>
  <si>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</si>
  <si>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</si>
  <si>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</si>
  <si>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</si>
  <si>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</si>
  <si>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</si>
  <si>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</si>
  <si>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</si>
  <si>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</si>
  <si>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</si>
  <si>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</si>
  <si>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</si>
  <si>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</si>
  <si>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</si>
  <si>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</si>
  <si>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</si>
  <si>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</si>
  <si>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</si>
  <si>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</si>
  <si>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</si>
  <si>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</si>
  <si>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</si>
  <si>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</si>
  <si>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</si>
  <si>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</si>
  <si>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</si>
  <si>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</si>
  <si>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</si>
  <si>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</si>
  <si>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</si>
  <si>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</si>
  <si>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</si>
  <si>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</si>
  <si>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</si>
  <si>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</si>
  <si>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</si>
  <si>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</si>
  <si>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</si>
  <si>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</si>
  <si>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</si>
  <si>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</si>
  <si>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</si>
  <si>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</si>
  <si>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</si>
  <si>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</si>
  <si>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</si>
  <si>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</si>
  <si>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</si>
  <si>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</si>
  <si>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</si>
  <si>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</si>
  <si>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</si>
  <si>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</si>
  <si>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</si>
  <si>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</si>
  <si>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</si>
  <si>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</si>
  <si>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</si>
  <si>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</si>
  <si>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</si>
  <si>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</si>
  <si>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</si>
  <si>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</si>
  <si>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</si>
  <si>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</si>
  <si>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</si>
  <si>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</si>
  <si>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</si>
  <si>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</si>
  <si>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</si>
  <si>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</si>
  <si>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</si>
  <si>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</si>
  <si>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</si>
  <si>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</si>
  <si>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</si>
  <si>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</si>
  <si>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</si>
  <si>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</si>
  <si>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</si>
  <si>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</si>
  <si>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</si>
  <si>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</si>
  <si>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</si>
  <si>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</si>
  <si>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</si>
  <si>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</si>
  <si>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</si>
  <si>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</si>
  <si>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</si>
  <si>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</si>
  <si>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</si>
  <si>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</si>
  <si>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</si>
  <si>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</si>
  <si>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</si>
  <si>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</si>
  <si>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</si>
  <si>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</si>
  <si>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</si>
  <si>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</si>
  <si>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</si>
  <si>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</si>
  <si>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</si>
  <si>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</si>
  <si>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</si>
  <si>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</si>
  <si>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</si>
  <si>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</si>
  <si>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</si>
  <si>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</si>
  <si>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</si>
  <si>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</si>
  <si>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</si>
  <si>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</si>
  <si>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</si>
  <si>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</si>
  <si>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</si>
  <si>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</si>
  <si>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</si>
  <si>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</si>
  <si>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</si>
  <si>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</si>
  <si>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</si>
  <si>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</si>
  <si>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</si>
  <si>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</si>
  <si>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</si>
  <si>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</si>
  <si>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</si>
  <si>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</si>
  <si>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</si>
  <si>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</si>
  <si>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</si>
  <si>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</si>
  <si>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</si>
  <si>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</si>
  <si>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</si>
  <si>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</si>
  <si>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</si>
  <si>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</si>
  <si>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</si>
  <si>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</si>
  <si>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</si>
  <si>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</si>
  <si>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</si>
  <si>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</si>
  <si>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</si>
  <si>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</si>
  <si>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</si>
  <si>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</si>
  <si>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</si>
  <si>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</si>
  <si>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</si>
  <si>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</si>
  <si>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</si>
  <si>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</si>
  <si>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</si>
  <si>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</si>
  <si>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</si>
  <si>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</si>
  <si>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</si>
  <si>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</si>
  <si>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</si>
  <si>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</si>
  <si>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</si>
  <si>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</si>
  <si>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</si>
  <si>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</si>
  <si>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</si>
  <si>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</si>
  <si>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</si>
  <si>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</si>
  <si>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</si>
  <si>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</si>
  <si>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</si>
  <si>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</si>
  <si>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</si>
  <si>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</si>
  <si>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</si>
  <si>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</si>
  <si>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</si>
  <si>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</si>
  <si>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</si>
  <si>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</si>
  <si>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</si>
  <si>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</si>
  <si>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</si>
  <si>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</si>
  <si>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</si>
  <si>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</si>
  <si>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</si>
  <si>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</si>
  <si>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</si>
  <si>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</si>
  <si>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</si>
  <si>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</si>
  <si>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</si>
  <si>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</si>
  <si>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</si>
  <si>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</si>
  <si>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</si>
  <si>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</si>
  <si>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</si>
  <si>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</si>
  <si>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</si>
  <si>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</si>
  <si>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</si>
  <si>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</si>
  <si>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</si>
  <si>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</si>
  <si>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</si>
  <si>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</si>
  <si>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</si>
  <si>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</si>
  <si>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</si>
  <si>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</si>
  <si>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</si>
  <si>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</si>
  <si>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</si>
  <si>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</si>
  <si>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</si>
  <si>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</si>
  <si>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</si>
  <si>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</si>
  <si>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</si>
  <si>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</si>
  <si>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</si>
  <si>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</si>
  <si>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</si>
  <si>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</si>
  <si>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</si>
  <si>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</si>
  <si>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</si>
  <si>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</si>
  <si>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</si>
  <si>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</si>
  <si>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</si>
  <si>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</si>
  <si>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</si>
  <si>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</si>
  <si>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</si>
  <si>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</si>
  <si>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</si>
  <si>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</si>
  <si>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</si>
  <si>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</si>
  <si>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</si>
  <si>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</si>
  <si>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</si>
  <si>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</si>
  <si>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</si>
  <si>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</si>
  <si>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</si>
  <si>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</si>
  <si>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</si>
  <si>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</si>
  <si>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</si>
  <si>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</si>
  <si>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</si>
  <si>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</si>
  <si>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</si>
  <si>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</si>
  <si>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</si>
  <si>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</si>
  <si>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</si>
  <si>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</si>
  <si>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</si>
  <si>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</si>
  <si>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</si>
  <si>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</si>
  <si>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</si>
  <si>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</si>
  <si>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</si>
  <si>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</si>
  <si>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</si>
  <si>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</si>
  <si>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</si>
  <si>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</si>
  <si>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</si>
  <si>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</si>
  <si>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</si>
  <si>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</si>
  <si>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</si>
  <si>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</si>
  <si>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</si>
  <si>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</si>
  <si>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</si>
  <si>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</si>
  <si>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</si>
  <si>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</si>
  <si>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</si>
  <si>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</si>
  <si>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</si>
  <si>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</si>
  <si>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</si>
  <si>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</si>
  <si>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</si>
  <si>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</si>
  <si>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</si>
  <si>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</si>
  <si>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</si>
  <si>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</si>
  <si>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</si>
  <si>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</si>
  <si>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</si>
  <si>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</si>
  <si>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</si>
  <si>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</si>
  <si>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</si>
  <si>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</si>
  <si>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</si>
  <si>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</si>
  <si>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</si>
  <si>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</si>
  <si>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</si>
  <si>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</si>
  <si>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</si>
  <si>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</si>
  <si>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</si>
  <si>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</si>
  <si>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</si>
  <si>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</si>
  <si>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</si>
  <si>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</si>
  <si>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</si>
  <si>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</si>
  <si>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</si>
  <si>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</si>
  <si>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</si>
  <si>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</si>
  <si>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</si>
  <si>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</si>
  <si>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</si>
  <si>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</si>
  <si>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</si>
  <si>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</si>
  <si>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</si>
  <si>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</si>
  <si>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</si>
  <si>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</si>
  <si>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</si>
  <si>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</si>
  <si>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</si>
  <si>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</si>
  <si>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</si>
  <si>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</si>
  <si>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</si>
  <si>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</si>
  <si>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</si>
  <si>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</si>
  <si>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</si>
  <si>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</si>
  <si>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</si>
  <si>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</si>
  <si>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</si>
  <si>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</si>
  <si>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</si>
  <si>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</si>
  <si>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</si>
  <si>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</si>
  <si>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</si>
  <si>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</si>
  <si>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</si>
  <si>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</si>
  <si>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</si>
  <si>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</si>
  <si>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</si>
  <si>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</si>
  <si>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</si>
  <si>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</si>
  <si>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</si>
  <si>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</si>
  <si>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</si>
  <si>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</si>
  <si>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</si>
  <si>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</si>
  <si>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</si>
  <si>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</si>
  <si>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</si>
  <si>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</si>
  <si>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</si>
  <si>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</si>
  <si>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</si>
  <si>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</si>
  <si>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</si>
  <si>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</si>
  <si>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</si>
  <si>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</si>
  <si>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</si>
  <si>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</si>
  <si>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</si>
  <si>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</si>
  <si>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</si>
  <si>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</si>
  <si>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</si>
  <si>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</si>
  <si>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</si>
  <si>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</si>
  <si>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</si>
  <si>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</si>
  <si>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</si>
  <si>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</si>
  <si>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</si>
  <si>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</si>
  <si>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</si>
  <si>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</si>
  <si>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</si>
  <si>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</si>
  <si>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</si>
  <si>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</si>
  <si>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</si>
  <si>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</si>
  <si>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</si>
  <si>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</si>
  <si>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</si>
  <si>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</si>
  <si>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</si>
  <si>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</si>
  <si>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</si>
  <si>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</si>
  <si>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</si>
  <si>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</si>
  <si>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</si>
  <si>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</si>
  <si>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</si>
  <si>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</si>
  <si>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</si>
  <si>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</si>
  <si>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</si>
  <si>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</si>
  <si>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</si>
  <si>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</si>
  <si>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</si>
  <si>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</si>
  <si>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</si>
  <si>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</si>
  <si>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</si>
  <si>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</si>
  <si>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</si>
  <si>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</si>
  <si>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</si>
  <si>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</si>
  <si>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</si>
  <si>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</si>
  <si>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</si>
  <si>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</si>
  <si>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</si>
  <si>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</si>
  <si>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</si>
  <si>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</si>
  <si>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</si>
  <si>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</si>
  <si>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</si>
  <si>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</si>
  <si>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</si>
  <si>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</si>
  <si>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</si>
  <si>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</si>
  <si>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</si>
  <si>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</si>
  <si>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</si>
  <si>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</si>
  <si>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</si>
  <si>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</si>
  <si>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</si>
  <si>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</si>
  <si>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</si>
  <si>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</si>
  <si>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</si>
  <si>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</si>
  <si>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</si>
  <si>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</si>
  <si>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</si>
  <si>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</si>
  <si>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</si>
  <si>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</si>
  <si>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</si>
  <si>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</si>
  <si>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</si>
  <si>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</si>
  <si>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</si>
  <si>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</si>
  <si>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</si>
  <si>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</si>
  <si>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</si>
  <si>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</si>
  <si>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</si>
  <si>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</si>
  <si>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</si>
  <si>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</si>
  <si>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</si>
  <si>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</si>
  <si>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</si>
  <si>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</si>
  <si>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</si>
  <si>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</si>
  <si>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</si>
  <si>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</si>
  <si>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</si>
  <si>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</si>
  <si>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</si>
  <si>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</si>
  <si>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</si>
  <si>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</si>
  <si>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</si>
  <si>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</si>
  <si>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</si>
  <si>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</si>
  <si>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</si>
  <si>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</si>
  <si>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</si>
  <si>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</si>
  <si>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</si>
  <si>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</si>
  <si>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</si>
  <si>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</si>
  <si>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</si>
  <si>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</si>
  <si>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</si>
  <si>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</si>
  <si>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</si>
  <si>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</si>
  <si>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</si>
  <si>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</si>
  <si>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</si>
  <si>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</si>
  <si>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</si>
  <si>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</si>
  <si>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</si>
  <si>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</si>
  <si>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</si>
  <si>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</si>
  <si>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</si>
  <si>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</si>
  <si>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</si>
  <si>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</si>
  <si>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</si>
  <si>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</si>
  <si>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</si>
  <si>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</si>
  <si>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</si>
  <si>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</si>
  <si>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</si>
  <si>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</si>
  <si>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</si>
  <si>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</si>
  <si>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</si>
  <si>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</si>
  <si>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</si>
  <si>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</si>
  <si>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</si>
  <si>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</si>
  <si>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</si>
  <si>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</si>
  <si>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</si>
  <si>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</si>
  <si>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</si>
  <si>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</si>
  <si>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</si>
  <si>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</si>
  <si>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</si>
  <si>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</si>
  <si>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</si>
  <si>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</si>
  <si>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</si>
  <si>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</si>
  <si>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</si>
  <si>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</si>
  <si>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</si>
  <si>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</si>
  <si>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</si>
  <si>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</si>
  <si>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</si>
  <si>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</si>
  <si>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</si>
  <si>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</si>
  <si>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</si>
  <si>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</si>
  <si>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</si>
  <si>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</si>
  <si>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</si>
  <si>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</si>
  <si>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</si>
  <si>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</si>
  <si>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</si>
  <si>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</si>
  <si>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</si>
  <si>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</si>
  <si>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</si>
  <si>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</si>
  <si>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</si>
  <si>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</si>
  <si>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</si>
  <si>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</si>
  <si>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</si>
  <si>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</si>
  <si>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</si>
  <si>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</si>
  <si>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</si>
  <si>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</si>
  <si>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</si>
  <si>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</si>
  <si>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</si>
  <si>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</si>
  <si>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</si>
  <si>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</si>
  <si>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</si>
  <si>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</si>
  <si>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</si>
  <si>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</si>
  <si>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</si>
  <si>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</si>
  <si>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</si>
  <si>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</si>
  <si>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</si>
  <si>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</si>
  <si>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</si>
  <si>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</si>
  <si>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</si>
  <si>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</si>
  <si>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</si>
  <si>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</si>
  <si>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</si>
  <si>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</si>
  <si>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</si>
  <si>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</si>
  <si>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</si>
  <si>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</si>
  <si>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</si>
  <si>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</si>
  <si>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</si>
  <si>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</si>
  <si>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</si>
  <si>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</si>
  <si>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</si>
  <si>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</si>
  <si>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</si>
  <si>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</si>
  <si>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</si>
  <si>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</si>
  <si>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</si>
  <si>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</si>
  <si>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</si>
  <si>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</si>
  <si>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</si>
  <si>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</si>
  <si>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</si>
  <si>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</si>
  <si>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</si>
  <si>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</si>
  <si>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</si>
  <si>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</si>
  <si>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</si>
  <si>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</si>
  <si>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</si>
  <si>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</si>
  <si>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</si>
  <si>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</si>
  <si>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</si>
  <si>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</si>
  <si>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</si>
  <si>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</si>
  <si>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</si>
  <si>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</si>
  <si>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</si>
  <si>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</si>
  <si>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</si>
  <si>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</si>
  <si>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</si>
  <si>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</si>
  <si>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</si>
  <si>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</si>
  <si>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</si>
  <si>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</si>
  <si>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</si>
  <si>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</si>
  <si>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</si>
  <si>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</si>
  <si>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</si>
  <si>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</si>
  <si>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</si>
  <si>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</si>
  <si>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</si>
  <si>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</si>
  <si>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</si>
  <si>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</si>
  <si>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</si>
  <si>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</si>
  <si>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</si>
  <si>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</si>
  <si>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</si>
  <si>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</si>
  <si>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</si>
  <si>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</si>
  <si>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</si>
  <si>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</si>
  <si>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</si>
  <si>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</si>
  <si>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</si>
  <si>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</si>
  <si>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</si>
  <si>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</si>
  <si>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</si>
  <si>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</si>
  <si>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</si>
  <si>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</si>
  <si>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</si>
  <si>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</si>
  <si>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</si>
  <si>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</si>
  <si>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title II</t>
  </si>
  <si>
    <t xml:space="preserve">title I </t>
  </si>
  <si>
    <t>IDEA</t>
  </si>
  <si>
    <t>REAP &amp; Security Grants</t>
  </si>
  <si>
    <t>security grant</t>
  </si>
  <si>
    <t>security grant .5</t>
  </si>
  <si>
    <t>Sunapee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</si>
</sst>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  <numFmt numFmtId="168" formatCode="_(&quot;$&quot;* #,##0_);_(&quot;$&quot;* \(#,##0\);_(&quot;$&quot;* &quot;-&quot;??_);_(@_)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4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0" fillId="0" borderId="0" xfId="0" applyAlignment="1">
      <alignment horizontal="left"/>
    </xf>
    <xf numFmtId="168" fontId="0" fillId="0" borderId="0" xfId="1" applyNumberFormat="1" applyFont="1"/>
    <xf numFmtId="9" fontId="0" fillId="0" borderId="0" xfId="2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515</v>
      </c>
      <c r="C2" s="21">
        <v>515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807130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11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50136</v>
      </c>
      <c r="G12" s="18">
        <v>37801</v>
      </c>
      <c r="H12" s="18">
        <v>-87937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3906</v>
      </c>
      <c r="H13" s="18">
        <v>89207</v>
      </c>
      <c r="I13" s="18"/>
      <c r="J13" s="67">
        <f>SUM(I442)</f>
        <v>1022056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49835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907112</v>
      </c>
      <c r="G19" s="41">
        <f>SUM(G9:G18)</f>
        <v>41707</v>
      </c>
      <c r="H19" s="41">
        <f>SUM(H9:H18)</f>
        <v>1270</v>
      </c>
      <c r="I19" s="41">
        <f>SUM(I9:I18)</f>
        <v>0</v>
      </c>
      <c r="J19" s="41">
        <f>SUM(J9:J18)</f>
        <v>1022056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14084</v>
      </c>
      <c r="G24" s="18"/>
      <c r="H24" s="18">
        <v>1270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14084</v>
      </c>
      <c r="G32" s="41">
        <f>SUM(G22:G31)</f>
        <v>0</v>
      </c>
      <c r="H32" s="41">
        <f>SUM(H22:H31)</f>
        <v>1270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201879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1022056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41707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366149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893028</v>
      </c>
      <c r="G51" s="41">
        <f>SUM(G35:G50)</f>
        <v>41707</v>
      </c>
      <c r="H51" s="41">
        <f>SUM(H35:H50)</f>
        <v>0</v>
      </c>
      <c r="I51" s="41">
        <f>SUM(I35:I50)</f>
        <v>0</v>
      </c>
      <c r="J51" s="41">
        <f>SUM(J35:J50)</f>
        <v>1022056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907112</v>
      </c>
      <c r="G52" s="41">
        <f>G51+G32</f>
        <v>41707</v>
      </c>
      <c r="H52" s="41">
        <f>H51+H32</f>
        <v>1270</v>
      </c>
      <c r="I52" s="41">
        <f>I51+I32</f>
        <v>0</v>
      </c>
      <c r="J52" s="41">
        <f>J51+J32</f>
        <v>1022056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8184346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8184346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20980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292353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37613</v>
      </c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350946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29189</v>
      </c>
      <c r="G96" s="18"/>
      <c r="H96" s="18"/>
      <c r="I96" s="18"/>
      <c r="J96" s="18">
        <v>6253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100522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29624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58813</v>
      </c>
      <c r="G111" s="41">
        <f>SUM(G96:G110)</f>
        <v>100522</v>
      </c>
      <c r="H111" s="41">
        <f>SUM(H96:H110)</f>
        <v>0</v>
      </c>
      <c r="I111" s="41">
        <f>SUM(I96:I110)</f>
        <v>0</v>
      </c>
      <c r="J111" s="41">
        <f>SUM(J96:J110)</f>
        <v>6253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8594105</v>
      </c>
      <c r="G112" s="41">
        <f>G60+G111</f>
        <v>100522</v>
      </c>
      <c r="H112" s="41">
        <f>H60+H79+H94+H111</f>
        <v>0</v>
      </c>
      <c r="I112" s="41">
        <f>I60+I111</f>
        <v>0</v>
      </c>
      <c r="J112" s="41">
        <f>J60+J111</f>
        <v>6253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2755463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2755463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263483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2069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1852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>
        <v>8128</v>
      </c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265552</v>
      </c>
      <c r="G136" s="41">
        <f>SUM(G123:G135)</f>
        <v>9980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3021015</v>
      </c>
      <c r="G140" s="41">
        <f>G121+SUM(G136:G137)</f>
        <v>9980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44795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 t="s">
        <v>913</v>
      </c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34142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 t="s">
        <v>912</v>
      </c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45973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59971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 t="s">
        <v>914</v>
      </c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60862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1500</v>
      </c>
      <c r="H161" s="18">
        <v>47361</v>
      </c>
      <c r="I161" s="18"/>
      <c r="J161" s="24" t="s">
        <v>286</v>
      </c>
      <c r="K161" s="24" t="s">
        <v>286</v>
      </c>
      <c r="L161" s="24" t="s">
        <v>286</v>
      </c>
      <c r="M161" s="8" t="s">
        <v>915</v>
      </c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60862</v>
      </c>
      <c r="G162" s="41">
        <f>SUM(G150:G161)</f>
        <v>47473</v>
      </c>
      <c r="H162" s="41">
        <f>SUM(H150:H161)</f>
        <v>186269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60862</v>
      </c>
      <c r="G169" s="41">
        <f>G147+G162+SUM(G163:G168)</f>
        <v>47473</v>
      </c>
      <c r="H169" s="41">
        <f>H147+H162+SUM(H163:H168)</f>
        <v>186269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11675982</v>
      </c>
      <c r="G193" s="47">
        <f>G112+G140+G169+G192</f>
        <v>157975</v>
      </c>
      <c r="H193" s="47">
        <f>H112+H140+H169+H192</f>
        <v>186269</v>
      </c>
      <c r="I193" s="47">
        <f>I112+I140+I169+I192</f>
        <v>0</v>
      </c>
      <c r="J193" s="47">
        <f>J112+J140+J192</f>
        <v>131253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1128428</v>
      </c>
      <c r="G197" s="18">
        <v>495990</v>
      </c>
      <c r="H197" s="18">
        <v>5258</v>
      </c>
      <c r="I197" s="18">
        <v>38516</v>
      </c>
      <c r="J197" s="18">
        <v>31629</v>
      </c>
      <c r="K197" s="18"/>
      <c r="L197" s="19">
        <f>SUM(F197:K197)</f>
        <v>1699821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389882</v>
      </c>
      <c r="G198" s="18">
        <v>158140</v>
      </c>
      <c r="H198" s="18">
        <v>230747</v>
      </c>
      <c r="I198" s="18">
        <f>4908+111+2638</f>
        <v>7657</v>
      </c>
      <c r="J198" s="18">
        <v>231</v>
      </c>
      <c r="K198" s="18">
        <v>597</v>
      </c>
      <c r="L198" s="19">
        <f>SUM(F198:K198)</f>
        <v>787254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8797</v>
      </c>
      <c r="G200" s="18">
        <v>27395</v>
      </c>
      <c r="H200" s="18">
        <v>6177</v>
      </c>
      <c r="I200" s="18">
        <v>3200</v>
      </c>
      <c r="J200" s="18"/>
      <c r="K200" s="18"/>
      <c r="L200" s="19">
        <f>SUM(F200:K200)</f>
        <v>45569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206016</v>
      </c>
      <c r="G202" s="18">
        <v>113293</v>
      </c>
      <c r="H202" s="18">
        <v>7363</v>
      </c>
      <c r="I202" s="18">
        <f>3074+236</f>
        <v>3310</v>
      </c>
      <c r="J202" s="18"/>
      <c r="K202" s="18"/>
      <c r="L202" s="19">
        <f t="shared" ref="L202:L208" si="0">SUM(F202:K202)</f>
        <v>329982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116367</v>
      </c>
      <c r="G203" s="18">
        <v>91949</v>
      </c>
      <c r="H203" s="18">
        <v>21461</v>
      </c>
      <c r="I203" s="18">
        <f>35201+5226</f>
        <v>40427</v>
      </c>
      <c r="J203" s="18">
        <f>35622+20120</f>
        <v>55742</v>
      </c>
      <c r="K203" s="18"/>
      <c r="L203" s="19">
        <f t="shared" si="0"/>
        <v>325946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100350</v>
      </c>
      <c r="G204" s="18">
        <v>59437</v>
      </c>
      <c r="H204" s="18">
        <v>13272</v>
      </c>
      <c r="I204" s="18">
        <v>7784</v>
      </c>
      <c r="J204" s="18">
        <v>446</v>
      </c>
      <c r="K204" s="18">
        <v>3797</v>
      </c>
      <c r="L204" s="19">
        <f t="shared" si="0"/>
        <v>185086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120541</v>
      </c>
      <c r="G205" s="18">
        <v>64224</v>
      </c>
      <c r="H205" s="18">
        <v>521</v>
      </c>
      <c r="I205" s="18">
        <v>1235</v>
      </c>
      <c r="J205" s="18"/>
      <c r="K205" s="18">
        <v>909</v>
      </c>
      <c r="L205" s="19">
        <f t="shared" si="0"/>
        <v>187430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134950</v>
      </c>
      <c r="G207" s="18">
        <v>52152</v>
      </c>
      <c r="H207" s="18">
        <f>61343+3862+1650+7093+20234+10543</f>
        <v>104725</v>
      </c>
      <c r="I207" s="18">
        <v>56121</v>
      </c>
      <c r="J207" s="18"/>
      <c r="K207" s="18"/>
      <c r="L207" s="19">
        <f t="shared" si="0"/>
        <v>347948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139308</v>
      </c>
      <c r="G208" s="18">
        <f>333+52672</f>
        <v>53005</v>
      </c>
      <c r="H208" s="18">
        <v>23748</v>
      </c>
      <c r="I208" s="18">
        <v>25108</v>
      </c>
      <c r="J208" s="18">
        <v>56253</v>
      </c>
      <c r="K208" s="18">
        <v>683</v>
      </c>
      <c r="L208" s="19">
        <f t="shared" si="0"/>
        <v>298105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2344639</v>
      </c>
      <c r="G211" s="41">
        <f t="shared" si="1"/>
        <v>1115585</v>
      </c>
      <c r="H211" s="41">
        <f t="shared" si="1"/>
        <v>413272</v>
      </c>
      <c r="I211" s="41">
        <f t="shared" si="1"/>
        <v>183358</v>
      </c>
      <c r="J211" s="41">
        <f t="shared" si="1"/>
        <v>144301</v>
      </c>
      <c r="K211" s="41">
        <f t="shared" si="1"/>
        <v>5986</v>
      </c>
      <c r="L211" s="41">
        <f t="shared" si="1"/>
        <v>4207141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629051</v>
      </c>
      <c r="G215" s="18">
        <v>495990</v>
      </c>
      <c r="H215" s="18">
        <v>3718</v>
      </c>
      <c r="I215" s="18">
        <f>29441+6378</f>
        <v>35819</v>
      </c>
      <c r="J215" s="18">
        <f>13794+4872</f>
        <v>18666</v>
      </c>
      <c r="K215" s="18"/>
      <c r="L215" s="19">
        <f>SUM(F215:K215)</f>
        <v>1183244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196375</v>
      </c>
      <c r="G216" s="18">
        <v>158140</v>
      </c>
      <c r="H216" s="18">
        <v>230747</v>
      </c>
      <c r="I216" s="18">
        <f>2743+2638</f>
        <v>5381</v>
      </c>
      <c r="J216" s="18">
        <f>1108+129</f>
        <v>1237</v>
      </c>
      <c r="K216" s="18">
        <v>597</v>
      </c>
      <c r="L216" s="19">
        <f>SUM(F216:K216)</f>
        <v>592477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>
        <v>3330</v>
      </c>
      <c r="I217" s="18"/>
      <c r="J217" s="18"/>
      <c r="K217" s="18"/>
      <c r="L217" s="19">
        <f>SUM(F217:K217)</f>
        <v>3330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55930</v>
      </c>
      <c r="G218" s="18">
        <v>27395</v>
      </c>
      <c r="H218" s="18">
        <v>10211</v>
      </c>
      <c r="I218" s="18">
        <v>20507</v>
      </c>
      <c r="J218" s="18"/>
      <c r="K218" s="18">
        <v>2426</v>
      </c>
      <c r="L218" s="19">
        <f>SUM(F218:K218)</f>
        <v>116469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178275</v>
      </c>
      <c r="G220" s="18">
        <v>113293</v>
      </c>
      <c r="H220" s="18">
        <v>9409</v>
      </c>
      <c r="I220" s="18">
        <f>3945+236</f>
        <v>4181</v>
      </c>
      <c r="J220" s="18"/>
      <c r="K220" s="18"/>
      <c r="L220" s="19">
        <f t="shared" ref="L220:L226" si="2">SUM(F220:K220)</f>
        <v>305158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112669</v>
      </c>
      <c r="G221" s="18">
        <f>13869+69737</f>
        <v>83606</v>
      </c>
      <c r="H221" s="18">
        <v>22762</v>
      </c>
      <c r="I221" s="18">
        <f>29323+139</f>
        <v>29462</v>
      </c>
      <c r="J221" s="18">
        <f>18351+9984</f>
        <v>28335</v>
      </c>
      <c r="K221" s="18"/>
      <c r="L221" s="19">
        <f t="shared" si="2"/>
        <v>276834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100351</v>
      </c>
      <c r="G222" s="18">
        <f>3946+55492</f>
        <v>59438</v>
      </c>
      <c r="H222" s="18">
        <v>13272</v>
      </c>
      <c r="I222" s="18">
        <v>7785</v>
      </c>
      <c r="J222" s="18">
        <v>446</v>
      </c>
      <c r="K222" s="18">
        <f>3797-75</f>
        <v>3722</v>
      </c>
      <c r="L222" s="19">
        <f t="shared" si="2"/>
        <v>185014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91152</v>
      </c>
      <c r="G223" s="18">
        <v>64224</v>
      </c>
      <c r="H223" s="18">
        <v>4037</v>
      </c>
      <c r="I223" s="18">
        <v>3982</v>
      </c>
      <c r="J223" s="18"/>
      <c r="K223" s="18">
        <v>2469</v>
      </c>
      <c r="L223" s="19">
        <f t="shared" si="2"/>
        <v>165864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65415</v>
      </c>
      <c r="G225" s="18">
        <v>52152</v>
      </c>
      <c r="H225" s="18">
        <f>88654+3862+1650+7093+8874+10543+40233</f>
        <v>160909</v>
      </c>
      <c r="I225" s="18">
        <f>102054+4136</f>
        <v>106190</v>
      </c>
      <c r="J225" s="18">
        <f>2635+18657</f>
        <v>21292</v>
      </c>
      <c r="K225" s="18"/>
      <c r="L225" s="19">
        <f t="shared" si="2"/>
        <v>405958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54263</v>
      </c>
      <c r="G226" s="18">
        <f>111+52672</f>
        <v>52783</v>
      </c>
      <c r="H226" s="18">
        <v>7916</v>
      </c>
      <c r="I226" s="18">
        <v>8369</v>
      </c>
      <c r="J226" s="18">
        <v>18751</v>
      </c>
      <c r="K226" s="18">
        <v>228</v>
      </c>
      <c r="L226" s="19">
        <f t="shared" si="2"/>
        <v>142310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1483481</v>
      </c>
      <c r="G229" s="41">
        <f>SUM(G215:G228)</f>
        <v>1107021</v>
      </c>
      <c r="H229" s="41">
        <f>SUM(H215:H228)</f>
        <v>466311</v>
      </c>
      <c r="I229" s="41">
        <f>SUM(I215:I228)</f>
        <v>221676</v>
      </c>
      <c r="J229" s="41">
        <f>SUM(J215:J228)</f>
        <v>88727</v>
      </c>
      <c r="K229" s="41">
        <f t="shared" si="3"/>
        <v>9442</v>
      </c>
      <c r="L229" s="41">
        <f t="shared" si="3"/>
        <v>3376658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933323-3975</f>
        <v>929348</v>
      </c>
      <c r="G233" s="18">
        <f>511020-721+77</f>
        <v>510376</v>
      </c>
      <c r="H233" s="18">
        <v>5576</v>
      </c>
      <c r="I233" s="18">
        <f>44162+9567-12</f>
        <v>53717</v>
      </c>
      <c r="J233" s="18">
        <f>20692+7307</f>
        <v>27999</v>
      </c>
      <c r="K233" s="18"/>
      <c r="L233" s="19">
        <f>SUM(F233:K233)</f>
        <v>1527016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271672</v>
      </c>
      <c r="G234" s="18">
        <v>162932</v>
      </c>
      <c r="H234" s="18">
        <f>230747-4560</f>
        <v>226187</v>
      </c>
      <c r="I234" s="18">
        <f>3355+2718</f>
        <v>6073</v>
      </c>
      <c r="J234" s="18">
        <f>1663+193</f>
        <v>1856</v>
      </c>
      <c r="K234" s="18">
        <v>596</v>
      </c>
      <c r="L234" s="19">
        <f>SUM(F234:K234)</f>
        <v>669316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4994</v>
      </c>
      <c r="I235" s="18"/>
      <c r="J235" s="18"/>
      <c r="K235" s="18"/>
      <c r="L235" s="19">
        <f>SUM(F235:K235)</f>
        <v>4994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83896</v>
      </c>
      <c r="G236" s="18">
        <v>28226</v>
      </c>
      <c r="H236" s="18">
        <v>15317</v>
      </c>
      <c r="I236" s="18">
        <v>30761</v>
      </c>
      <c r="J236" s="18"/>
      <c r="K236" s="18">
        <v>3639</v>
      </c>
      <c r="L236" s="19">
        <f>SUM(F236:K236)</f>
        <v>161839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228335</v>
      </c>
      <c r="G238" s="18">
        <v>116726</v>
      </c>
      <c r="H238" s="18">
        <v>10507</v>
      </c>
      <c r="I238" s="18">
        <f>5469+243</f>
        <v>5712</v>
      </c>
      <c r="J238" s="18"/>
      <c r="K238" s="18"/>
      <c r="L238" s="19">
        <f t="shared" ref="L238:L244" si="4">SUM(F238:K238)</f>
        <v>361280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149297</v>
      </c>
      <c r="G239" s="18">
        <f>15436+71850-3</f>
        <v>87283</v>
      </c>
      <c r="H239" s="18">
        <v>24669</v>
      </c>
      <c r="I239" s="18">
        <f>36193+208-238</f>
        <v>36163</v>
      </c>
      <c r="J239" s="18">
        <f>23935+14975</f>
        <v>38910</v>
      </c>
      <c r="K239" s="18"/>
      <c r="L239" s="19">
        <f t="shared" si="4"/>
        <v>336322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100351</v>
      </c>
      <c r="G240" s="18">
        <f>3946+57174</f>
        <v>61120</v>
      </c>
      <c r="H240" s="18">
        <v>13271</v>
      </c>
      <c r="I240" s="18">
        <v>7785</v>
      </c>
      <c r="J240" s="18">
        <v>446</v>
      </c>
      <c r="K240" s="18">
        <v>3797</v>
      </c>
      <c r="L240" s="19">
        <f t="shared" si="4"/>
        <v>186770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136729</v>
      </c>
      <c r="G241" s="18">
        <v>66170</v>
      </c>
      <c r="H241" s="18">
        <v>6055</v>
      </c>
      <c r="I241" s="18">
        <v>5974</v>
      </c>
      <c r="J241" s="18"/>
      <c r="K241" s="18">
        <v>3704</v>
      </c>
      <c r="L241" s="19">
        <f t="shared" si="4"/>
        <v>218632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82568</v>
      </c>
      <c r="G243" s="18">
        <v>53733</v>
      </c>
      <c r="H243" s="18">
        <f>121442+3979+1700+7308+13310+10862+60350-4829</f>
        <v>214122</v>
      </c>
      <c r="I243" s="18">
        <f>151212+6203</f>
        <v>157415</v>
      </c>
      <c r="J243" s="18">
        <f>3952+27986</f>
        <v>31938</v>
      </c>
      <c r="K243" s="18"/>
      <c r="L243" s="19">
        <f t="shared" si="4"/>
        <v>539776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92181</v>
      </c>
      <c r="G244" s="18">
        <f>111+54268</f>
        <v>54379</v>
      </c>
      <c r="H244" s="18">
        <v>7916</v>
      </c>
      <c r="I244" s="18">
        <v>8369</v>
      </c>
      <c r="J244" s="18">
        <v>18751</v>
      </c>
      <c r="K244" s="18">
        <v>228</v>
      </c>
      <c r="L244" s="19">
        <f t="shared" si="4"/>
        <v>181824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2074377</v>
      </c>
      <c r="G247" s="41">
        <f t="shared" si="5"/>
        <v>1140945</v>
      </c>
      <c r="H247" s="41">
        <f t="shared" si="5"/>
        <v>528614</v>
      </c>
      <c r="I247" s="41">
        <f t="shared" si="5"/>
        <v>311969</v>
      </c>
      <c r="J247" s="41">
        <f t="shared" si="5"/>
        <v>119900</v>
      </c>
      <c r="K247" s="41">
        <f t="shared" si="5"/>
        <v>11964</v>
      </c>
      <c r="L247" s="41">
        <f t="shared" si="5"/>
        <v>4187769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5902497</v>
      </c>
      <c r="G257" s="41">
        <f t="shared" si="8"/>
        <v>3363551</v>
      </c>
      <c r="H257" s="41">
        <f t="shared" si="8"/>
        <v>1408197</v>
      </c>
      <c r="I257" s="41">
        <f t="shared" si="8"/>
        <v>717003</v>
      </c>
      <c r="J257" s="41">
        <f t="shared" si="8"/>
        <v>352928</v>
      </c>
      <c r="K257" s="41">
        <f t="shared" si="8"/>
        <v>27392</v>
      </c>
      <c r="L257" s="41">
        <f t="shared" si="8"/>
        <v>11771568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125000</v>
      </c>
      <c r="L266" s="19">
        <f t="shared" si="9"/>
        <v>125000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125000</v>
      </c>
      <c r="L270" s="41">
        <f t="shared" si="9"/>
        <v>125000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5902497</v>
      </c>
      <c r="G271" s="42">
        <f t="shared" si="11"/>
        <v>3363551</v>
      </c>
      <c r="H271" s="42">
        <f t="shared" si="11"/>
        <v>1408197</v>
      </c>
      <c r="I271" s="42">
        <f t="shared" si="11"/>
        <v>717003</v>
      </c>
      <c r="J271" s="42">
        <f t="shared" si="11"/>
        <v>352928</v>
      </c>
      <c r="K271" s="42">
        <f t="shared" si="11"/>
        <v>152392</v>
      </c>
      <c r="L271" s="42">
        <f t="shared" si="11"/>
        <v>11896568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44795</v>
      </c>
      <c r="G276" s="18"/>
      <c r="H276" s="18">
        <v>1667</v>
      </c>
      <c r="I276" s="18"/>
      <c r="J276" s="18"/>
      <c r="K276" s="18"/>
      <c r="L276" s="19">
        <f>SUM(F276:K276)</f>
        <v>46462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7819</v>
      </c>
      <c r="G277" s="18"/>
      <c r="H277" s="18">
        <v>26953</v>
      </c>
      <c r="I277" s="18">
        <v>3401</v>
      </c>
      <c r="J277" s="18"/>
      <c r="K277" s="18"/>
      <c r="L277" s="19">
        <f>SUM(F277:K277)</f>
        <v>38173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1433</v>
      </c>
      <c r="G281" s="18"/>
      <c r="H281" s="18"/>
      <c r="I281" s="18"/>
      <c r="J281" s="18"/>
      <c r="K281" s="18"/>
      <c r="L281" s="19">
        <f t="shared" ref="L281:L287" si="12">SUM(F281:K281)</f>
        <v>1433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7747</v>
      </c>
      <c r="I282" s="18">
        <v>3050</v>
      </c>
      <c r="J282" s="18">
        <v>7604</v>
      </c>
      <c r="K282" s="18"/>
      <c r="L282" s="19">
        <f t="shared" si="12"/>
        <v>18401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>
        <v>950</v>
      </c>
      <c r="I284" s="18"/>
      <c r="J284" s="18"/>
      <c r="K284" s="18"/>
      <c r="L284" s="19">
        <f t="shared" si="12"/>
        <v>950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16717</v>
      </c>
      <c r="I286" s="18"/>
      <c r="J286" s="18"/>
      <c r="K286" s="18"/>
      <c r="L286" s="19">
        <f t="shared" si="12"/>
        <v>16717</v>
      </c>
      <c r="M286" s="8" t="s">
        <v>916</v>
      </c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1116</v>
      </c>
      <c r="I287" s="18"/>
      <c r="J287" s="18"/>
      <c r="K287" s="18"/>
      <c r="L287" s="19">
        <f t="shared" si="12"/>
        <v>1116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54047</v>
      </c>
      <c r="G290" s="42">
        <f t="shared" si="13"/>
        <v>0</v>
      </c>
      <c r="H290" s="42">
        <f t="shared" si="13"/>
        <v>55150</v>
      </c>
      <c r="I290" s="42">
        <f t="shared" si="13"/>
        <v>6451</v>
      </c>
      <c r="J290" s="42">
        <f t="shared" si="13"/>
        <v>7604</v>
      </c>
      <c r="K290" s="42">
        <f t="shared" si="13"/>
        <v>0</v>
      </c>
      <c r="L290" s="41">
        <f t="shared" si="13"/>
        <v>123252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>
        <v>1667</v>
      </c>
      <c r="I295" s="18"/>
      <c r="J295" s="18"/>
      <c r="K295" s="18"/>
      <c r="L295" s="19">
        <f>SUM(F295:K295)</f>
        <v>1667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7819</v>
      </c>
      <c r="G296" s="18"/>
      <c r="H296" s="18"/>
      <c r="I296" s="18"/>
      <c r="J296" s="18"/>
      <c r="K296" s="18"/>
      <c r="L296" s="19">
        <f>SUM(F296:K296)</f>
        <v>7819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1433</v>
      </c>
      <c r="G300" s="18"/>
      <c r="H300" s="18"/>
      <c r="I300" s="18"/>
      <c r="J300" s="18"/>
      <c r="K300" s="18"/>
      <c r="L300" s="19">
        <f t="shared" ref="L300:L306" si="14">SUM(F300:K300)</f>
        <v>1433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>
        <v>7747</v>
      </c>
      <c r="I301" s="18"/>
      <c r="J301" s="18"/>
      <c r="K301" s="18"/>
      <c r="L301" s="19">
        <f t="shared" si="14"/>
        <v>7747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>
        <v>950</v>
      </c>
      <c r="I303" s="18"/>
      <c r="J303" s="18"/>
      <c r="K303" s="18"/>
      <c r="L303" s="19">
        <f t="shared" si="14"/>
        <v>950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>
        <v>11520</v>
      </c>
      <c r="I305" s="18"/>
      <c r="J305" s="18"/>
      <c r="K305" s="18"/>
      <c r="L305" s="19">
        <f t="shared" si="14"/>
        <v>11520</v>
      </c>
      <c r="M305" s="8" t="s">
        <v>917</v>
      </c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372</v>
      </c>
      <c r="I306" s="18"/>
      <c r="J306" s="18"/>
      <c r="K306" s="18"/>
      <c r="L306" s="19">
        <f t="shared" si="14"/>
        <v>372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9252</v>
      </c>
      <c r="G309" s="42">
        <f t="shared" si="15"/>
        <v>0</v>
      </c>
      <c r="H309" s="42">
        <f t="shared" si="15"/>
        <v>22256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31508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v>1666</v>
      </c>
      <c r="I314" s="18"/>
      <c r="J314" s="18"/>
      <c r="K314" s="18"/>
      <c r="L314" s="19">
        <f>SUM(F314:K314)</f>
        <v>1666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7820</v>
      </c>
      <c r="G315" s="18"/>
      <c r="H315" s="18"/>
      <c r="I315" s="18"/>
      <c r="J315" s="18"/>
      <c r="K315" s="18"/>
      <c r="L315" s="19">
        <f>SUM(F315:K315)</f>
        <v>7820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1434</v>
      </c>
      <c r="G319" s="18"/>
      <c r="H319" s="18"/>
      <c r="I319" s="18"/>
      <c r="J319" s="18"/>
      <c r="K319" s="18"/>
      <c r="L319" s="19">
        <f t="shared" ref="L319:L325" si="16">SUM(F319:K319)</f>
        <v>1434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7746</v>
      </c>
      <c r="I320" s="18"/>
      <c r="J320" s="18"/>
      <c r="K320" s="18"/>
      <c r="L320" s="19">
        <f t="shared" si="16"/>
        <v>7746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>
        <v>951</v>
      </c>
      <c r="I322" s="18"/>
      <c r="J322" s="18"/>
      <c r="K322" s="18"/>
      <c r="L322" s="19">
        <f t="shared" si="16"/>
        <v>951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>
        <v>11520</v>
      </c>
      <c r="I324" s="18"/>
      <c r="J324" s="18"/>
      <c r="K324" s="18"/>
      <c r="L324" s="19">
        <f t="shared" si="16"/>
        <v>11520</v>
      </c>
      <c r="M324" s="8" t="s">
        <v>917</v>
      </c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372</v>
      </c>
      <c r="I325" s="18"/>
      <c r="J325" s="18"/>
      <c r="K325" s="18"/>
      <c r="L325" s="19">
        <f t="shared" si="16"/>
        <v>372</v>
      </c>
      <c r="M325" s="8">
        <v>0.2</v>
      </c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9254</v>
      </c>
      <c r="G328" s="42">
        <f t="shared" si="17"/>
        <v>0</v>
      </c>
      <c r="H328" s="42">
        <f t="shared" si="17"/>
        <v>22255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31509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72553</v>
      </c>
      <c r="G338" s="41">
        <f t="shared" si="20"/>
        <v>0</v>
      </c>
      <c r="H338" s="41">
        <f t="shared" si="20"/>
        <v>99661</v>
      </c>
      <c r="I338" s="41">
        <f t="shared" si="20"/>
        <v>6451</v>
      </c>
      <c r="J338" s="41">
        <f t="shared" si="20"/>
        <v>7604</v>
      </c>
      <c r="K338" s="41">
        <f t="shared" si="20"/>
        <v>0</v>
      </c>
      <c r="L338" s="41">
        <f t="shared" si="20"/>
        <v>186269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72553</v>
      </c>
      <c r="G352" s="41">
        <f>G338</f>
        <v>0</v>
      </c>
      <c r="H352" s="41">
        <f>H338</f>
        <v>99661</v>
      </c>
      <c r="I352" s="41">
        <f>I338</f>
        <v>6451</v>
      </c>
      <c r="J352" s="41">
        <f>J338</f>
        <v>7604</v>
      </c>
      <c r="K352" s="47">
        <f>K338+K351</f>
        <v>0</v>
      </c>
      <c r="L352" s="41">
        <f>L338+L351</f>
        <v>186269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25595</v>
      </c>
      <c r="G358" s="18"/>
      <c r="H358" s="18">
        <v>457</v>
      </c>
      <c r="I358" s="18">
        <f>24716+2709</f>
        <v>27425</v>
      </c>
      <c r="J358" s="18"/>
      <c r="K358" s="18"/>
      <c r="L358" s="13">
        <f>SUM(F358:K358)</f>
        <v>53477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25596</v>
      </c>
      <c r="G359" s="18"/>
      <c r="H359" s="18">
        <v>458</v>
      </c>
      <c r="I359" s="18">
        <f>24716+2709</f>
        <v>27425</v>
      </c>
      <c r="J359" s="18"/>
      <c r="K359" s="18"/>
      <c r="L359" s="19">
        <f>SUM(F359:K359)</f>
        <v>53479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25595</v>
      </c>
      <c r="G360" s="18"/>
      <c r="H360" s="18">
        <v>458</v>
      </c>
      <c r="I360" s="18">
        <f>24716+2710</f>
        <v>27426</v>
      </c>
      <c r="J360" s="18"/>
      <c r="K360" s="18">
        <v>425</v>
      </c>
      <c r="L360" s="19">
        <f>SUM(F360:K360)</f>
        <v>53904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76786</v>
      </c>
      <c r="G362" s="47">
        <f t="shared" si="22"/>
        <v>0</v>
      </c>
      <c r="H362" s="47">
        <f t="shared" si="22"/>
        <v>1373</v>
      </c>
      <c r="I362" s="47">
        <f t="shared" si="22"/>
        <v>82276</v>
      </c>
      <c r="J362" s="47">
        <f t="shared" si="22"/>
        <v>0</v>
      </c>
      <c r="K362" s="47">
        <f t="shared" si="22"/>
        <v>425</v>
      </c>
      <c r="L362" s="47">
        <f t="shared" si="22"/>
        <v>160860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26737</v>
      </c>
      <c r="G367" s="18">
        <v>26737</v>
      </c>
      <c r="H367" s="18">
        <v>26737</v>
      </c>
      <c r="I367" s="56">
        <f>SUM(F367:H367)</f>
        <v>80211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688</v>
      </c>
      <c r="G368" s="63">
        <v>688</v>
      </c>
      <c r="H368" s="63">
        <v>689</v>
      </c>
      <c r="I368" s="56">
        <f>SUM(F368:H368)</f>
        <v>2065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27425</v>
      </c>
      <c r="G369" s="47">
        <f>SUM(G367:G368)</f>
        <v>27425</v>
      </c>
      <c r="H369" s="47">
        <f>SUM(H367:H368)</f>
        <v>27426</v>
      </c>
      <c r="I369" s="47">
        <f>SUM(I367:I368)</f>
        <v>82276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100000</v>
      </c>
      <c r="H392" s="18">
        <v>3952</v>
      </c>
      <c r="I392" s="18"/>
      <c r="J392" s="24" t="s">
        <v>286</v>
      </c>
      <c r="K392" s="24" t="s">
        <v>286</v>
      </c>
      <c r="L392" s="56">
        <f t="shared" si="25"/>
        <v>103952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3952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103952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2301</v>
      </c>
      <c r="I397" s="18"/>
      <c r="J397" s="24" t="s">
        <v>286</v>
      </c>
      <c r="K397" s="24" t="s">
        <v>286</v>
      </c>
      <c r="L397" s="56">
        <f t="shared" si="26"/>
        <v>27301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2301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27301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6253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131253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>
        <v>250</v>
      </c>
      <c r="I418" s="18"/>
      <c r="J418" s="18"/>
      <c r="K418" s="18"/>
      <c r="L418" s="56">
        <f t="shared" si="27"/>
        <v>250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250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250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250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893303</v>
      </c>
      <c r="G442" s="18">
        <v>128753</v>
      </c>
      <c r="H442" s="18"/>
      <c r="I442" s="56">
        <f t="shared" si="33"/>
        <v>1022056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893303</v>
      </c>
      <c r="G446" s="13">
        <f>SUM(G439:G445)</f>
        <v>128753</v>
      </c>
      <c r="H446" s="13">
        <f>SUM(H439:H445)</f>
        <v>0</v>
      </c>
      <c r="I446" s="13">
        <f>SUM(I439:I445)</f>
        <v>1022056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893303</v>
      </c>
      <c r="G459" s="18">
        <v>128753</v>
      </c>
      <c r="H459" s="18"/>
      <c r="I459" s="56">
        <f t="shared" si="34"/>
        <v>1022056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893303</v>
      </c>
      <c r="G460" s="83">
        <f>SUM(G454:G459)</f>
        <v>128753</v>
      </c>
      <c r="H460" s="83">
        <f>SUM(H454:H459)</f>
        <v>0</v>
      </c>
      <c r="I460" s="83">
        <f>SUM(I454:I459)</f>
        <v>1022056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893303</v>
      </c>
      <c r="G461" s="42">
        <f>G452+G460</f>
        <v>128753</v>
      </c>
      <c r="H461" s="42">
        <f>H452+H460</f>
        <v>0</v>
      </c>
      <c r="I461" s="42">
        <f>I452+I460</f>
        <v>1022056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1113614</v>
      </c>
      <c r="G465" s="18">
        <v>46092</v>
      </c>
      <c r="H465" s="18">
        <v>0</v>
      </c>
      <c r="I465" s="18">
        <v>0</v>
      </c>
      <c r="J465" s="18">
        <v>891047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11675982</v>
      </c>
      <c r="G468" s="18">
        <v>157975</v>
      </c>
      <c r="H468" s="18">
        <v>186269</v>
      </c>
      <c r="I468" s="18"/>
      <c r="J468" s="18">
        <v>131253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>
        <v>6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11675982</v>
      </c>
      <c r="G470" s="53">
        <f>SUM(G468:G469)</f>
        <v>157975</v>
      </c>
      <c r="H470" s="53">
        <f>SUM(H468:H469)</f>
        <v>186269</v>
      </c>
      <c r="I470" s="53">
        <f>SUM(I468:I469)</f>
        <v>0</v>
      </c>
      <c r="J470" s="53">
        <f>SUM(J468:J469)</f>
        <v>131259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11896568</v>
      </c>
      <c r="G472" s="18">
        <v>160860</v>
      </c>
      <c r="H472" s="18">
        <v>186269</v>
      </c>
      <c r="I472" s="18"/>
      <c r="J472" s="18">
        <v>250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1500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11896568</v>
      </c>
      <c r="G474" s="53">
        <f>SUM(G472:G473)</f>
        <v>162360</v>
      </c>
      <c r="H474" s="53">
        <f>SUM(H472:H473)</f>
        <v>186269</v>
      </c>
      <c r="I474" s="53">
        <f>SUM(I472:I473)</f>
        <v>0</v>
      </c>
      <c r="J474" s="53">
        <f>SUM(J472:J473)</f>
        <v>250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893028</v>
      </c>
      <c r="G476" s="53">
        <f>(G465+G470)- G474</f>
        <v>41707</v>
      </c>
      <c r="H476" s="53">
        <f>(H465+H470)- H474</f>
        <v>0</v>
      </c>
      <c r="I476" s="53">
        <f>(I465+I470)- I474</f>
        <v>0</v>
      </c>
      <c r="J476" s="53">
        <f>(J465+J470)- J474</f>
        <v>1022056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397701</v>
      </c>
      <c r="G521" s="18">
        <v>158140</v>
      </c>
      <c r="H521" s="18">
        <v>257700</v>
      </c>
      <c r="I521" s="18">
        <v>8309</v>
      </c>
      <c r="J521" s="18">
        <v>231</v>
      </c>
      <c r="K521" s="18">
        <v>597</v>
      </c>
      <c r="L521" s="88">
        <f>SUM(F521:K521)</f>
        <v>822678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204194</v>
      </c>
      <c r="G522" s="18">
        <v>158140</v>
      </c>
      <c r="H522" s="18">
        <v>230747</v>
      </c>
      <c r="I522" s="18">
        <v>2743</v>
      </c>
      <c r="J522" s="18">
        <v>1108</v>
      </c>
      <c r="K522" s="18">
        <v>597</v>
      </c>
      <c r="L522" s="88">
        <f>SUM(F522:K522)</f>
        <v>597529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279492</v>
      </c>
      <c r="G523" s="18">
        <v>162932</v>
      </c>
      <c r="H523" s="18">
        <v>230747</v>
      </c>
      <c r="I523" s="18">
        <v>3355</v>
      </c>
      <c r="J523" s="18">
        <v>1663</v>
      </c>
      <c r="K523" s="18">
        <v>596</v>
      </c>
      <c r="L523" s="88">
        <f>SUM(F523:K523)</f>
        <v>678785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881387</v>
      </c>
      <c r="G524" s="108">
        <f t="shared" ref="G524:L524" si="36">SUM(G521:G523)</f>
        <v>479212</v>
      </c>
      <c r="H524" s="108">
        <f t="shared" si="36"/>
        <v>719194</v>
      </c>
      <c r="I524" s="108">
        <f t="shared" si="36"/>
        <v>14407</v>
      </c>
      <c r="J524" s="108">
        <f t="shared" si="36"/>
        <v>3002</v>
      </c>
      <c r="K524" s="108">
        <f t="shared" si="36"/>
        <v>1790</v>
      </c>
      <c r="L524" s="89">
        <f t="shared" si="36"/>
        <v>2098992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79589</v>
      </c>
      <c r="G526" s="18">
        <v>113293</v>
      </c>
      <c r="H526" s="18">
        <v>7212</v>
      </c>
      <c r="I526" s="18">
        <v>1136</v>
      </c>
      <c r="J526" s="18"/>
      <c r="K526" s="18"/>
      <c r="L526" s="88">
        <f>SUM(F526:K526)</f>
        <v>201230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79589</v>
      </c>
      <c r="G527" s="18">
        <v>113293</v>
      </c>
      <c r="H527" s="18">
        <v>7213</v>
      </c>
      <c r="I527" s="18">
        <v>1137</v>
      </c>
      <c r="J527" s="18"/>
      <c r="K527" s="18"/>
      <c r="L527" s="88">
        <f>SUM(F527:K527)</f>
        <v>201232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78590</v>
      </c>
      <c r="G528" s="18">
        <v>116726</v>
      </c>
      <c r="H528" s="18">
        <v>7213</v>
      </c>
      <c r="I528" s="18">
        <v>1137</v>
      </c>
      <c r="J528" s="18"/>
      <c r="K528" s="18"/>
      <c r="L528" s="88">
        <f>SUM(F528:K528)</f>
        <v>203666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237768</v>
      </c>
      <c r="G529" s="89">
        <f t="shared" ref="G529:L529" si="37">SUM(G526:G528)</f>
        <v>343312</v>
      </c>
      <c r="H529" s="89">
        <f t="shared" si="37"/>
        <v>21638</v>
      </c>
      <c r="I529" s="89">
        <f t="shared" si="37"/>
        <v>3410</v>
      </c>
      <c r="J529" s="89">
        <f t="shared" si="37"/>
        <v>0</v>
      </c>
      <c r="K529" s="89">
        <f t="shared" si="37"/>
        <v>0</v>
      </c>
      <c r="L529" s="89">
        <f t="shared" si="37"/>
        <v>606128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30433</v>
      </c>
      <c r="G531" s="18">
        <v>17135</v>
      </c>
      <c r="H531" s="18"/>
      <c r="I531" s="18"/>
      <c r="J531" s="18"/>
      <c r="K531" s="18"/>
      <c r="L531" s="88">
        <f>SUM(F531:K531)</f>
        <v>47568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30433</v>
      </c>
      <c r="G532" s="18">
        <v>17135</v>
      </c>
      <c r="H532" s="18"/>
      <c r="I532" s="18"/>
      <c r="J532" s="18"/>
      <c r="K532" s="18"/>
      <c r="L532" s="88">
        <f>SUM(F532:K532)</f>
        <v>47568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30433</v>
      </c>
      <c r="G533" s="18">
        <v>17135</v>
      </c>
      <c r="H533" s="18"/>
      <c r="I533" s="18"/>
      <c r="J533" s="18"/>
      <c r="K533" s="18"/>
      <c r="L533" s="88">
        <f>SUM(F533:K533)</f>
        <v>47568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91299</v>
      </c>
      <c r="G534" s="89">
        <f t="shared" ref="G534:L534" si="38">SUM(G531:G533)</f>
        <v>51405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142704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610</v>
      </c>
      <c r="I536" s="18"/>
      <c r="J536" s="18"/>
      <c r="K536" s="18"/>
      <c r="L536" s="88">
        <f>SUM(F536:K536)</f>
        <v>610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610</v>
      </c>
      <c r="I537" s="18"/>
      <c r="J537" s="18"/>
      <c r="K537" s="18"/>
      <c r="L537" s="88">
        <f>SUM(F537:K537)</f>
        <v>610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611</v>
      </c>
      <c r="I538" s="18"/>
      <c r="J538" s="18"/>
      <c r="K538" s="18"/>
      <c r="L538" s="88">
        <f>SUM(F538:K538)</f>
        <v>611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1831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1831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36170</v>
      </c>
      <c r="G541" s="18">
        <v>15101</v>
      </c>
      <c r="H541" s="18"/>
      <c r="I541" s="18"/>
      <c r="J541" s="18"/>
      <c r="K541" s="18"/>
      <c r="L541" s="88">
        <f>SUM(F541:K541)</f>
        <v>51271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18946</v>
      </c>
      <c r="G542" s="18">
        <v>7375</v>
      </c>
      <c r="H542" s="18"/>
      <c r="I542" s="18"/>
      <c r="J542" s="18"/>
      <c r="K542" s="18"/>
      <c r="L542" s="88">
        <f>SUM(F542:K542)</f>
        <v>26321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31003</v>
      </c>
      <c r="G543" s="18">
        <v>12643</v>
      </c>
      <c r="H543" s="18"/>
      <c r="I543" s="18"/>
      <c r="J543" s="18"/>
      <c r="K543" s="18"/>
      <c r="L543" s="88">
        <f>SUM(F543:K543)</f>
        <v>43646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86119</v>
      </c>
      <c r="G544" s="193">
        <f t="shared" ref="G544:L544" si="40">SUM(G541:G543)</f>
        <v>35119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121238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1296573</v>
      </c>
      <c r="G545" s="89">
        <f t="shared" ref="G545:L545" si="41">G524+G529+G534+G539+G544</f>
        <v>909048</v>
      </c>
      <c r="H545" s="89">
        <f t="shared" si="41"/>
        <v>742663</v>
      </c>
      <c r="I545" s="89">
        <f t="shared" si="41"/>
        <v>17817</v>
      </c>
      <c r="J545" s="89">
        <f t="shared" si="41"/>
        <v>3002</v>
      </c>
      <c r="K545" s="89">
        <f t="shared" si="41"/>
        <v>1790</v>
      </c>
      <c r="L545" s="89">
        <f t="shared" si="41"/>
        <v>2970893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822678</v>
      </c>
      <c r="G549" s="87">
        <f>L526</f>
        <v>201230</v>
      </c>
      <c r="H549" s="87">
        <f>L531</f>
        <v>47568</v>
      </c>
      <c r="I549" s="87">
        <f>L536</f>
        <v>610</v>
      </c>
      <c r="J549" s="87">
        <f>L541</f>
        <v>51271</v>
      </c>
      <c r="K549" s="87">
        <f>SUM(F549:J549)</f>
        <v>1123357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597529</v>
      </c>
      <c r="G550" s="87">
        <f>L527</f>
        <v>201232</v>
      </c>
      <c r="H550" s="87">
        <f>L532</f>
        <v>47568</v>
      </c>
      <c r="I550" s="87">
        <f>L537</f>
        <v>610</v>
      </c>
      <c r="J550" s="87">
        <f>L542</f>
        <v>26321</v>
      </c>
      <c r="K550" s="87">
        <f>SUM(F550:J550)</f>
        <v>873260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678785</v>
      </c>
      <c r="G551" s="87">
        <f>L528</f>
        <v>203666</v>
      </c>
      <c r="H551" s="87">
        <f>L533</f>
        <v>47568</v>
      </c>
      <c r="I551" s="87">
        <f>L538</f>
        <v>611</v>
      </c>
      <c r="J551" s="87">
        <f>L543</f>
        <v>43646</v>
      </c>
      <c r="K551" s="87">
        <f>SUM(F551:J551)</f>
        <v>974276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2098992</v>
      </c>
      <c r="G552" s="89">
        <f t="shared" si="42"/>
        <v>606128</v>
      </c>
      <c r="H552" s="89">
        <f t="shared" si="42"/>
        <v>142704</v>
      </c>
      <c r="I552" s="89">
        <f t="shared" si="42"/>
        <v>1831</v>
      </c>
      <c r="J552" s="89">
        <f t="shared" si="42"/>
        <v>121238</v>
      </c>
      <c r="K552" s="89">
        <f t="shared" si="42"/>
        <v>2970893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2880</v>
      </c>
      <c r="I575" s="87">
        <f>SUM(F575:H575)</f>
        <v>2880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130404</v>
      </c>
      <c r="G582" s="18">
        <v>384315</v>
      </c>
      <c r="H582" s="18">
        <v>149073</v>
      </c>
      <c r="I582" s="87">
        <f t="shared" si="47"/>
        <v>663792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>
        <v>3330</v>
      </c>
      <c r="H584" s="18">
        <v>4994</v>
      </c>
      <c r="I584" s="87">
        <f t="shared" si="47"/>
        <v>8324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204392+52672</f>
        <v>257064</v>
      </c>
      <c r="I591" s="18">
        <f>68131+52672</f>
        <v>120803</v>
      </c>
      <c r="J591" s="18">
        <f>68131+54268</f>
        <v>122399</v>
      </c>
      <c r="K591" s="104">
        <f t="shared" ref="K591:K597" si="48">SUM(H591:J591)</f>
        <v>500266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36170</v>
      </c>
      <c r="I592" s="18">
        <v>18946</v>
      </c>
      <c r="J592" s="18">
        <v>31003</v>
      </c>
      <c r="K592" s="104">
        <f t="shared" si="48"/>
        <v>86119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5303</v>
      </c>
      <c r="K593" s="104">
        <f t="shared" si="48"/>
        <v>5303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19277</v>
      </c>
      <c r="K594" s="104">
        <f t="shared" si="48"/>
        <v>19277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4871</v>
      </c>
      <c r="I595" s="18">
        <v>2561</v>
      </c>
      <c r="J595" s="18">
        <v>3842</v>
      </c>
      <c r="K595" s="104">
        <f t="shared" si="48"/>
        <v>11274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298105</v>
      </c>
      <c r="I598" s="108">
        <f>SUM(I591:I597)</f>
        <v>142310</v>
      </c>
      <c r="J598" s="108">
        <f>SUM(J591:J597)</f>
        <v>181824</v>
      </c>
      <c r="K598" s="108">
        <f>SUM(K591:K597)</f>
        <v>622239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131785+20120</f>
        <v>151905</v>
      </c>
      <c r="I604" s="18">
        <f>55085+4872+129+9984+18657</f>
        <v>88727</v>
      </c>
      <c r="J604" s="18">
        <f>69439+7307+194+14975+27985</f>
        <v>119900</v>
      </c>
      <c r="K604" s="104">
        <f>SUM(H604:J604)</f>
        <v>360532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151905</v>
      </c>
      <c r="I605" s="108">
        <f>SUM(I602:I604)</f>
        <v>88727</v>
      </c>
      <c r="J605" s="108">
        <f>SUM(J602:J604)</f>
        <v>119900</v>
      </c>
      <c r="K605" s="108">
        <f>SUM(K602:K604)</f>
        <v>360532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907112</v>
      </c>
      <c r="H617" s="109">
        <f>SUM(F52)</f>
        <v>907112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41707</v>
      </c>
      <c r="H618" s="109">
        <f>SUM(G52)</f>
        <v>41707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1270</v>
      </c>
      <c r="H619" s="109">
        <f>SUM(H52)</f>
        <v>1270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1022056</v>
      </c>
      <c r="H621" s="109">
        <f>SUM(J52)</f>
        <v>1022056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893028</v>
      </c>
      <c r="H622" s="109">
        <f>F476</f>
        <v>893028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41707</v>
      </c>
      <c r="H623" s="109">
        <f>G476</f>
        <v>41707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1022056</v>
      </c>
      <c r="H626" s="109">
        <f>J476</f>
        <v>1022056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11675982</v>
      </c>
      <c r="H627" s="104">
        <f>SUM(F468)</f>
        <v>11675982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157975</v>
      </c>
      <c r="H628" s="104">
        <f>SUM(G468)</f>
        <v>157975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186269</v>
      </c>
      <c r="H629" s="104">
        <f>SUM(H468)</f>
        <v>186269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131253</v>
      </c>
      <c r="H631" s="104">
        <f>SUM(J468)</f>
        <v>131253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11896568</v>
      </c>
      <c r="H632" s="104">
        <f>SUM(F472)</f>
        <v>11896568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186269</v>
      </c>
      <c r="H633" s="104">
        <f>SUM(H472)</f>
        <v>186269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82276</v>
      </c>
      <c r="H634" s="104">
        <f>I369</f>
        <v>82276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160860</v>
      </c>
      <c r="H635" s="104">
        <f>SUM(G472)</f>
        <v>160860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131253</v>
      </c>
      <c r="H637" s="164">
        <f>SUM(J468)</f>
        <v>131253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250</v>
      </c>
      <c r="H638" s="164">
        <f>SUM(J472)</f>
        <v>250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893303</v>
      </c>
      <c r="H639" s="104">
        <f>SUM(F461)</f>
        <v>893303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128753</v>
      </c>
      <c r="H640" s="104">
        <f>SUM(G461)</f>
        <v>128753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1022056</v>
      </c>
      <c r="H642" s="104">
        <f>SUM(I461)</f>
        <v>1022056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6253</v>
      </c>
      <c r="H644" s="104">
        <f>H408</f>
        <v>6253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125000</v>
      </c>
      <c r="H645" s="104">
        <f>G408</f>
        <v>125000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131253</v>
      </c>
      <c r="H646" s="104">
        <f>L408</f>
        <v>131253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622239</v>
      </c>
      <c r="H647" s="104">
        <f>L208+L226+L244</f>
        <v>622239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360532</v>
      </c>
      <c r="H648" s="104">
        <f>(J257+J338)-(J255+J336)</f>
        <v>360532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298105</v>
      </c>
      <c r="H649" s="104">
        <f>H598</f>
        <v>298105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142310</v>
      </c>
      <c r="H650" s="104">
        <f>I598</f>
        <v>142310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181824</v>
      </c>
      <c r="H651" s="104">
        <f>J598</f>
        <v>181824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125000</v>
      </c>
      <c r="H655" s="104">
        <f>K266+K347</f>
        <v>125000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4383870</v>
      </c>
      <c r="G660" s="19">
        <f>(L229+L309+L359)</f>
        <v>3461645</v>
      </c>
      <c r="H660" s="19">
        <f>(L247+L328+L360)</f>
        <v>4273182</v>
      </c>
      <c r="I660" s="19">
        <f>SUM(F660:H660)</f>
        <v>12118697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33417.972112395873</v>
      </c>
      <c r="G661" s="19">
        <f>(L359/IF(SUM(L358:L360)=0,1,SUM(L358:L360))*(SUM(G97:G110)))</f>
        <v>33419.221919681717</v>
      </c>
      <c r="H661" s="19">
        <f>(L360/IF(SUM(L358:L360)=0,1,SUM(L358:L360))*(SUM(G97:G110)))</f>
        <v>33684.805967922417</v>
      </c>
      <c r="I661" s="19">
        <f>SUM(F661:H661)</f>
        <v>100522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242968</v>
      </c>
      <c r="G662" s="19">
        <f>(L226+L306)-(J226+J306)</f>
        <v>123931</v>
      </c>
      <c r="H662" s="19">
        <f>(L244+L325)-(J244+J325)</f>
        <v>163445</v>
      </c>
      <c r="I662" s="19">
        <f>SUM(F662:H662)</f>
        <v>530344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282309</v>
      </c>
      <c r="G663" s="199">
        <f>SUM(G575:G587)+SUM(I602:I604)+L612</f>
        <v>476372</v>
      </c>
      <c r="H663" s="199">
        <f>SUM(H575:H587)+SUM(J602:J604)+L613</f>
        <v>276847</v>
      </c>
      <c r="I663" s="19">
        <f>SUM(F663:H663)</f>
        <v>1035528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3825175.0278876042</v>
      </c>
      <c r="G664" s="19">
        <f>G660-SUM(G661:G663)</f>
        <v>2827922.7780803181</v>
      </c>
      <c r="H664" s="19">
        <f>H660-SUM(H661:H663)</f>
        <v>3799205.1940320777</v>
      </c>
      <c r="I664" s="19">
        <f>I660-SUM(I661:I663)</f>
        <v>10452303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163.57</v>
      </c>
      <c r="G665" s="248">
        <v>106.37</v>
      </c>
      <c r="H665" s="248">
        <v>141.77000000000001</v>
      </c>
      <c r="I665" s="19">
        <f>SUM(F665:H665)</f>
        <v>411.71000000000004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23385.55</v>
      </c>
      <c r="G667" s="19">
        <f>ROUND(G664/G665,2)</f>
        <v>26585.72</v>
      </c>
      <c r="H667" s="19">
        <f>ROUND(H664/H665,2)</f>
        <v>26798.37</v>
      </c>
      <c r="I667" s="19">
        <f>ROUND(I664/I665,2)</f>
        <v>25387.54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-0.78</v>
      </c>
      <c r="I670" s="19">
        <f>SUM(F670:H670)</f>
        <v>-0.78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23385.55</v>
      </c>
      <c r="G672" s="19">
        <f>ROUND((G664+G669)/(G665+G670),2)</f>
        <v>26585.72</v>
      </c>
      <c r="H672" s="19">
        <f>ROUND((H664+H669)/(H665+H670),2)</f>
        <v>26946.63</v>
      </c>
      <c r="I672" s="19">
        <f>ROUND((I664+I669)/(I665+I670),2)</f>
        <v>25435.73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G27" sqref="G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Sunapee</v>
      </c>
      <c r="C1" s="238" t="s">
        <v>833</v>
      </c>
    </row>
    <row r="2" spans="1:3" x14ac:dyDescent="0.2">
      <c r="A2" s="233"/>
      <c r="B2" s="232"/>
    </row>
    <row r="3" spans="1:3" x14ac:dyDescent="0.2">
      <c r="A3" s="282" t="s">
        <v>778</v>
      </c>
      <c r="B3" s="282"/>
      <c r="C3" s="282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777</v>
      </c>
      <c r="C6" s="281"/>
    </row>
    <row r="7" spans="1:3" x14ac:dyDescent="0.2">
      <c r="A7" s="239" t="s">
        <v>780</v>
      </c>
      <c r="B7" s="279" t="s">
        <v>776</v>
      </c>
      <c r="C7" s="280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2731622</v>
      </c>
      <c r="C9" s="229">
        <f>'DOE25'!G197+'DOE25'!G215+'DOE25'!G233+'DOE25'!G276+'DOE25'!G295+'DOE25'!G314</f>
        <v>1502356</v>
      </c>
    </row>
    <row r="10" spans="1:3" x14ac:dyDescent="0.2">
      <c r="A10" t="s">
        <v>773</v>
      </c>
      <c r="B10" s="240">
        <v>2594464</v>
      </c>
      <c r="C10" s="240">
        <v>1427206</v>
      </c>
    </row>
    <row r="11" spans="1:3" x14ac:dyDescent="0.2">
      <c r="A11" t="s">
        <v>774</v>
      </c>
      <c r="B11" s="240">
        <f>30841+44795</f>
        <v>75636</v>
      </c>
      <c r="C11" s="240">
        <v>70444</v>
      </c>
    </row>
    <row r="12" spans="1:3" x14ac:dyDescent="0.2">
      <c r="A12" t="s">
        <v>775</v>
      </c>
      <c r="B12" s="240">
        <v>61522</v>
      </c>
      <c r="C12" s="240">
        <v>4706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2731622</v>
      </c>
      <c r="C13" s="231">
        <f>SUM(C10:C12)</f>
        <v>1502356</v>
      </c>
    </row>
    <row r="14" spans="1:3" x14ac:dyDescent="0.2">
      <c r="B14" s="230"/>
      <c r="C14" s="230"/>
    </row>
    <row r="15" spans="1:3" x14ac:dyDescent="0.2">
      <c r="B15" s="281" t="s">
        <v>777</v>
      </c>
      <c r="C15" s="281"/>
    </row>
    <row r="16" spans="1:3" x14ac:dyDescent="0.2">
      <c r="A16" s="239" t="s">
        <v>781</v>
      </c>
      <c r="B16" s="279" t="s">
        <v>701</v>
      </c>
      <c r="C16" s="280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881387</v>
      </c>
      <c r="C18" s="229">
        <f>'DOE25'!G198+'DOE25'!G216+'DOE25'!G234+'DOE25'!G277+'DOE25'!G296+'DOE25'!G315</f>
        <v>479212</v>
      </c>
    </row>
    <row r="19" spans="1:3" x14ac:dyDescent="0.2">
      <c r="A19" t="s">
        <v>773</v>
      </c>
      <c r="B19" s="240">
        <f>499612+8642+14816</f>
        <v>523070</v>
      </c>
      <c r="C19" s="240">
        <v>282735</v>
      </c>
    </row>
    <row r="20" spans="1:3" x14ac:dyDescent="0.2">
      <c r="A20" t="s">
        <v>774</v>
      </c>
      <c r="B20" s="240">
        <v>313269</v>
      </c>
      <c r="C20" s="240">
        <v>172516</v>
      </c>
    </row>
    <row r="21" spans="1:3" x14ac:dyDescent="0.2">
      <c r="A21" t="s">
        <v>775</v>
      </c>
      <c r="B21" s="240">
        <v>45048</v>
      </c>
      <c r="C21" s="240">
        <v>23961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881387</v>
      </c>
      <c r="C22" s="231">
        <f>SUM(C19:C21)</f>
        <v>479212</v>
      </c>
    </row>
    <row r="23" spans="1:3" x14ac:dyDescent="0.2">
      <c r="B23" s="230"/>
      <c r="C23" s="230"/>
    </row>
    <row r="24" spans="1:3" x14ac:dyDescent="0.2">
      <c r="B24" s="281" t="s">
        <v>777</v>
      </c>
      <c r="C24" s="281"/>
    </row>
    <row r="25" spans="1:3" x14ac:dyDescent="0.2">
      <c r="A25" s="239" t="s">
        <v>782</v>
      </c>
      <c r="B25" s="279" t="s">
        <v>702</v>
      </c>
      <c r="C25" s="280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777</v>
      </c>
      <c r="C33" s="281"/>
    </row>
    <row r="34" spans="1:3" x14ac:dyDescent="0.2">
      <c r="A34" s="239" t="s">
        <v>783</v>
      </c>
      <c r="B34" s="279" t="s">
        <v>703</v>
      </c>
      <c r="C34" s="280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148623</v>
      </c>
      <c r="C36" s="235">
        <f>'DOE25'!G200+'DOE25'!G218+'DOE25'!G236+'DOE25'!G279+'DOE25'!G298+'DOE25'!G317</f>
        <v>83016</v>
      </c>
    </row>
    <row r="37" spans="1:3" x14ac:dyDescent="0.2">
      <c r="A37" t="s">
        <v>773</v>
      </c>
      <c r="B37" s="240">
        <v>148623</v>
      </c>
      <c r="C37" s="240">
        <v>83016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148623</v>
      </c>
      <c r="C40" s="231">
        <f>SUM(C37:C39)</f>
        <v>83016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784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711</v>
      </c>
      <c r="B2" s="265" t="str">
        <f>'DOE25'!A2</f>
        <v>Sunapee</v>
      </c>
      <c r="C2" s="181"/>
      <c r="D2" s="181" t="s">
        <v>786</v>
      </c>
      <c r="E2" s="181" t="s">
        <v>788</v>
      </c>
      <c r="F2" s="283" t="s">
        <v>815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6791329</v>
      </c>
      <c r="D5" s="20">
        <f>SUM('DOE25'!L197:L200)+SUM('DOE25'!L215:L218)+SUM('DOE25'!L233:L236)-F5-G5</f>
        <v>6701856</v>
      </c>
      <c r="E5" s="243"/>
      <c r="F5" s="255">
        <f>SUM('DOE25'!J197:J200)+SUM('DOE25'!J215:J218)+SUM('DOE25'!J233:J236)</f>
        <v>81618</v>
      </c>
      <c r="G5" s="53">
        <f>SUM('DOE25'!K197:K200)+SUM('DOE25'!K215:K218)+SUM('DOE25'!K233:K236)</f>
        <v>7855</v>
      </c>
      <c r="H5" s="259"/>
    </row>
    <row r="6" spans="1:9" x14ac:dyDescent="0.2">
      <c r="A6" s="32">
        <v>2100</v>
      </c>
      <c r="B6" t="s">
        <v>795</v>
      </c>
      <c r="C6" s="245">
        <f t="shared" si="0"/>
        <v>996420</v>
      </c>
      <c r="D6" s="20">
        <f>'DOE25'!L202+'DOE25'!L220+'DOE25'!L238-F6-G6</f>
        <v>996420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939102</v>
      </c>
      <c r="D7" s="20">
        <f>'DOE25'!L203+'DOE25'!L221+'DOE25'!L239-F7-G7</f>
        <v>816115</v>
      </c>
      <c r="E7" s="243"/>
      <c r="F7" s="255">
        <f>'DOE25'!J203+'DOE25'!J221+'DOE25'!J239</f>
        <v>122987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278322</v>
      </c>
      <c r="D8" s="243"/>
      <c r="E8" s="20">
        <f>'DOE25'!L204+'DOE25'!L222+'DOE25'!L240-F8-G8-D9-D11</f>
        <v>265668</v>
      </c>
      <c r="F8" s="255">
        <f>'DOE25'!J204+'DOE25'!J222+'DOE25'!J240</f>
        <v>1338</v>
      </c>
      <c r="G8" s="53">
        <f>'DOE25'!K204+'DOE25'!K222+'DOE25'!K240</f>
        <v>11316</v>
      </c>
      <c r="H8" s="259"/>
    </row>
    <row r="9" spans="1:9" x14ac:dyDescent="0.2">
      <c r="A9" s="32">
        <v>2310</v>
      </c>
      <c r="B9" t="s">
        <v>812</v>
      </c>
      <c r="C9" s="245">
        <f t="shared" si="0"/>
        <v>51105</v>
      </c>
      <c r="D9" s="244">
        <v>51105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8400</v>
      </c>
      <c r="D10" s="243"/>
      <c r="E10" s="244">
        <v>8400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227443</v>
      </c>
      <c r="D11" s="244">
        <v>227443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571926</v>
      </c>
      <c r="D12" s="20">
        <f>'DOE25'!L205+'DOE25'!L223+'DOE25'!L241-F12-G12</f>
        <v>564844</v>
      </c>
      <c r="E12" s="243"/>
      <c r="F12" s="255">
        <f>'DOE25'!J205+'DOE25'!J223+'DOE25'!J241</f>
        <v>0</v>
      </c>
      <c r="G12" s="53">
        <f>'DOE25'!K205+'DOE25'!K223+'DOE25'!K241</f>
        <v>7082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1293682</v>
      </c>
      <c r="D14" s="20">
        <f>'DOE25'!L207+'DOE25'!L225+'DOE25'!L243-F14-G14</f>
        <v>1240452</v>
      </c>
      <c r="E14" s="243"/>
      <c r="F14" s="255">
        <f>'DOE25'!J207+'DOE25'!J225+'DOE25'!J243</f>
        <v>53230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622239</v>
      </c>
      <c r="D15" s="20">
        <f>'DOE25'!L208+'DOE25'!L226+'DOE25'!L244-F15-G15</f>
        <v>527345</v>
      </c>
      <c r="E15" s="243"/>
      <c r="F15" s="255">
        <f>'DOE25'!J208+'DOE25'!J226+'DOE25'!J244</f>
        <v>93755</v>
      </c>
      <c r="G15" s="53">
        <f>'DOE25'!K208+'DOE25'!K226+'DOE25'!K244</f>
        <v>1139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80649</v>
      </c>
      <c r="D29" s="20">
        <f>'DOE25'!L358+'DOE25'!L359+'DOE25'!L360-'DOE25'!I367-F29-G29</f>
        <v>80224</v>
      </c>
      <c r="E29" s="243"/>
      <c r="F29" s="255">
        <f>'DOE25'!J358+'DOE25'!J359+'DOE25'!J360</f>
        <v>0</v>
      </c>
      <c r="G29" s="53">
        <f>'DOE25'!K358+'DOE25'!K359+'DOE25'!K360</f>
        <v>425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186269</v>
      </c>
      <c r="D31" s="20">
        <f>'DOE25'!L290+'DOE25'!L309+'DOE25'!L328+'DOE25'!L333+'DOE25'!L334+'DOE25'!L335-F31-G31</f>
        <v>178665</v>
      </c>
      <c r="E31" s="243"/>
      <c r="F31" s="255">
        <f>'DOE25'!J290+'DOE25'!J309+'DOE25'!J328+'DOE25'!J333+'DOE25'!J334+'DOE25'!J335</f>
        <v>7604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11384469</v>
      </c>
      <c r="E33" s="246">
        <f>SUM(E5:E31)</f>
        <v>274068</v>
      </c>
      <c r="F33" s="246">
        <f>SUM(F5:F31)</f>
        <v>360532</v>
      </c>
      <c r="G33" s="246">
        <f>SUM(G5:G31)</f>
        <v>27817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274068</v>
      </c>
      <c r="E35" s="249"/>
    </row>
    <row r="36" spans="2:8" ht="12" thickTop="1" x14ac:dyDescent="0.2">
      <c r="B36" t="s">
        <v>809</v>
      </c>
      <c r="D36" s="20">
        <f>D33</f>
        <v>11384469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topLeftCell="C1" zoomScaleNormal="100" workbookViewId="0">
      <pane ySplit="2" topLeftCell="A3" activePane="bottomLeft" state="frozen"/>
      <selection activeCell="F46" sqref="F46"/>
      <selection pane="bottomLeft" activeCell="I36" sqref="I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807130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50136</v>
      </c>
      <c r="D11" s="95">
        <f>'DOE25'!G12</f>
        <v>37801</v>
      </c>
      <c r="E11" s="95">
        <f>'DOE25'!H12</f>
        <v>-87937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3906</v>
      </c>
      <c r="E12" s="95">
        <f>'DOE25'!H13</f>
        <v>89207</v>
      </c>
      <c r="F12" s="95">
        <f>'DOE25'!I13</f>
        <v>0</v>
      </c>
      <c r="G12" s="95">
        <f>'DOE25'!J13</f>
        <v>1022056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49835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907112</v>
      </c>
      <c r="D18" s="41">
        <f>SUM(D8:D17)</f>
        <v>41707</v>
      </c>
      <c r="E18" s="41">
        <f>SUM(E8:E17)</f>
        <v>1270</v>
      </c>
      <c r="F18" s="41">
        <f>SUM(F8:F17)</f>
        <v>0</v>
      </c>
      <c r="G18" s="41">
        <f>SUM(G8:G17)</f>
        <v>1022056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14084</v>
      </c>
      <c r="D23" s="95">
        <f>'DOE25'!G24</f>
        <v>0</v>
      </c>
      <c r="E23" s="95">
        <f>'DOE25'!H24</f>
        <v>1270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14084</v>
      </c>
      <c r="D31" s="41">
        <f>SUM(D21:D30)</f>
        <v>0</v>
      </c>
      <c r="E31" s="41">
        <f>SUM(E21:E30)</f>
        <v>1270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201879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1022056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41707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366149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893028</v>
      </c>
      <c r="D50" s="41">
        <f>SUM(D34:D49)</f>
        <v>41707</v>
      </c>
      <c r="E50" s="41">
        <f>SUM(E34:E49)</f>
        <v>0</v>
      </c>
      <c r="F50" s="41">
        <f>SUM(F34:F49)</f>
        <v>0</v>
      </c>
      <c r="G50" s="41">
        <f>SUM(G34:G49)</f>
        <v>1022056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907112</v>
      </c>
      <c r="D51" s="41">
        <f>D50+D31</f>
        <v>41707</v>
      </c>
      <c r="E51" s="41">
        <f>E50+E31</f>
        <v>1270</v>
      </c>
      <c r="F51" s="41">
        <f>F50+F31</f>
        <v>0</v>
      </c>
      <c r="G51" s="41">
        <f>G50+G31</f>
        <v>1022056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8184346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350946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29189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6253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100522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29624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409759</v>
      </c>
      <c r="D62" s="130">
        <f>SUM(D57:D61)</f>
        <v>100522</v>
      </c>
      <c r="E62" s="130">
        <f>SUM(E57:E61)</f>
        <v>0</v>
      </c>
      <c r="F62" s="130">
        <f>SUM(F57:F61)</f>
        <v>0</v>
      </c>
      <c r="G62" s="130">
        <f>SUM(G57:G61)</f>
        <v>6253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8594105</v>
      </c>
      <c r="D63" s="22">
        <f>D56+D62</f>
        <v>100522</v>
      </c>
      <c r="E63" s="22">
        <f>E56+E62</f>
        <v>0</v>
      </c>
      <c r="F63" s="22">
        <f>F56+F62</f>
        <v>0</v>
      </c>
      <c r="G63" s="22">
        <f>G56+G62</f>
        <v>6253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2755463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2755463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263483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2069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9980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265552</v>
      </c>
      <c r="D78" s="130">
        <f>SUM(D72:D77)</f>
        <v>9980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3021015</v>
      </c>
      <c r="D81" s="130">
        <f>SUM(D79:D80)+D78+D70</f>
        <v>9980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60862</v>
      </c>
      <c r="D88" s="95">
        <f>SUM('DOE25'!G153:G161)</f>
        <v>47473</v>
      </c>
      <c r="E88" s="95">
        <f>SUM('DOE25'!H153:H161)</f>
        <v>186269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60862</v>
      </c>
      <c r="D91" s="131">
        <f>SUM(D85:D90)</f>
        <v>47473</v>
      </c>
      <c r="E91" s="131">
        <f>SUM(E85:E90)</f>
        <v>186269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759</v>
      </c>
      <c r="C104" s="86">
        <f>C63+C81+C91+C103</f>
        <v>11675982</v>
      </c>
      <c r="D104" s="86">
        <f>D63+D81+D91+D103</f>
        <v>157975</v>
      </c>
      <c r="E104" s="86">
        <f>E63+E81+E91+E103</f>
        <v>186269</v>
      </c>
      <c r="F104" s="86">
        <f>F63+F81+F91+F103</f>
        <v>0</v>
      </c>
      <c r="G104" s="86">
        <f>G63+G81+G103</f>
        <v>131253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4410081</v>
      </c>
      <c r="D109" s="24" t="s">
        <v>286</v>
      </c>
      <c r="E109" s="95">
        <f>('DOE25'!L276)+('DOE25'!L295)+('DOE25'!L314)</f>
        <v>49795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2049047</v>
      </c>
      <c r="D110" s="24" t="s">
        <v>286</v>
      </c>
      <c r="E110" s="95">
        <f>('DOE25'!L277)+('DOE25'!L296)+('DOE25'!L315)</f>
        <v>53812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8324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323877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6791329</v>
      </c>
      <c r="D115" s="86">
        <f>SUM(D109:D114)</f>
        <v>0</v>
      </c>
      <c r="E115" s="86">
        <f>SUM(E109:E114)</f>
        <v>103607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996420</v>
      </c>
      <c r="D118" s="24" t="s">
        <v>286</v>
      </c>
      <c r="E118" s="95">
        <f>+('DOE25'!L281)+('DOE25'!L300)+('DOE25'!L319)</f>
        <v>4300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939102</v>
      </c>
      <c r="D119" s="24" t="s">
        <v>286</v>
      </c>
      <c r="E119" s="95">
        <f>+('DOE25'!L282)+('DOE25'!L301)+('DOE25'!L320)</f>
        <v>33894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556870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571926</v>
      </c>
      <c r="D121" s="24" t="s">
        <v>286</v>
      </c>
      <c r="E121" s="95">
        <f>+('DOE25'!L284)+('DOE25'!L303)+('DOE25'!L322)</f>
        <v>2851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1293682</v>
      </c>
      <c r="D123" s="24" t="s">
        <v>286</v>
      </c>
      <c r="E123" s="95">
        <f>+('DOE25'!L286)+('DOE25'!L305)+('DOE25'!L324)</f>
        <v>39757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622239</v>
      </c>
      <c r="D124" s="24" t="s">
        <v>286</v>
      </c>
      <c r="E124" s="95">
        <f>+('DOE25'!L287)+('DOE25'!L306)+('DOE25'!L325)</f>
        <v>1860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160860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4980239</v>
      </c>
      <c r="D128" s="86">
        <f>SUM(D118:D127)</f>
        <v>160860</v>
      </c>
      <c r="E128" s="86">
        <f>SUM(E118:E127)</f>
        <v>82662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103952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27301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-6253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125000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11896568</v>
      </c>
      <c r="D145" s="86">
        <f>(D115+D128+D144)</f>
        <v>160860</v>
      </c>
      <c r="E145" s="86">
        <f>(E115+E128+E144)</f>
        <v>186269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zoomScaleNormal="100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734</v>
      </c>
      <c r="B1" s="287"/>
      <c r="C1" s="287"/>
      <c r="D1" s="287"/>
    </row>
    <row r="2" spans="1:4" x14ac:dyDescent="0.2">
      <c r="A2" s="187" t="s">
        <v>711</v>
      </c>
      <c r="B2" s="186" t="str">
        <f>'DOE25'!A2</f>
        <v>Sunapee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23386</v>
      </c>
    </row>
    <row r="5" spans="1:4" x14ac:dyDescent="0.2">
      <c r="B5" t="s">
        <v>698</v>
      </c>
      <c r="C5" s="179">
        <f>IF('DOE25'!G665+'DOE25'!G670=0,0,ROUND('DOE25'!G672,0))</f>
        <v>26586</v>
      </c>
    </row>
    <row r="6" spans="1:4" x14ac:dyDescent="0.2">
      <c r="B6" t="s">
        <v>62</v>
      </c>
      <c r="C6" s="179">
        <f>IF('DOE25'!H665+'DOE25'!H670=0,0,ROUND('DOE25'!H672,0))</f>
        <v>26947</v>
      </c>
    </row>
    <row r="7" spans="1:4" x14ac:dyDescent="0.2">
      <c r="B7" t="s">
        <v>699</v>
      </c>
      <c r="C7" s="179">
        <f>IF('DOE25'!I665+'DOE25'!I670=0,0,ROUND('DOE25'!I672,0))</f>
        <v>25436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4459876</v>
      </c>
      <c r="D10" s="182">
        <f>ROUND((C10/$C$28)*100,1)</f>
        <v>37.1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2102859</v>
      </c>
      <c r="D11" s="182">
        <f>ROUND((C11/$C$28)*100,1)</f>
        <v>17.5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8324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323877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1000720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972996</v>
      </c>
      <c r="D16" s="182">
        <f t="shared" si="0"/>
        <v>8.1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556870</v>
      </c>
      <c r="D17" s="182">
        <f t="shared" si="0"/>
        <v>4.5999999999999996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574777</v>
      </c>
      <c r="D18" s="182">
        <f t="shared" si="0"/>
        <v>4.8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1333439</v>
      </c>
      <c r="D20" s="182">
        <f t="shared" si="0"/>
        <v>11.1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624099</v>
      </c>
      <c r="D21" s="182">
        <f t="shared" si="0"/>
        <v>5.2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60338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12018175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12018175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8184346</v>
      </c>
      <c r="D35" s="182">
        <f t="shared" ref="D35:D40" si="1">ROUND((C35/$C$41)*100,1)</f>
        <v>68.599999999999994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416012</v>
      </c>
      <c r="D36" s="182">
        <f t="shared" si="1"/>
        <v>3.5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2755463</v>
      </c>
      <c r="D37" s="182">
        <f t="shared" si="1"/>
        <v>23.1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275532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294604</v>
      </c>
      <c r="D39" s="182">
        <f t="shared" si="1"/>
        <v>2.5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11925957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761</v>
      </c>
      <c r="B2" s="299"/>
      <c r="C2" s="299"/>
      <c r="D2" s="299"/>
      <c r="E2" s="299"/>
      <c r="F2" s="296" t="str">
        <f>'DOE25'!A2</f>
        <v>Sunapee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4" t="s">
        <v>765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8"/>
      <c r="AO32" s="219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8"/>
      <c r="BB32" s="219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8"/>
      <c r="BO32" s="219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8"/>
      <c r="CB32" s="219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8"/>
      <c r="CO32" s="219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8"/>
      <c r="DB32" s="219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8"/>
      <c r="DO32" s="219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8"/>
      <c r="EB32" s="219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8"/>
      <c r="EO32" s="219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8"/>
      <c r="FB32" s="219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8"/>
      <c r="FO32" s="219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8"/>
      <c r="GB32" s="219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8"/>
      <c r="GO32" s="219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8"/>
      <c r="HB32" s="219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8"/>
      <c r="HO32" s="219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8"/>
      <c r="IB32" s="219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8"/>
      <c r="IO32" s="219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8"/>
      <c r="B33" s="219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8"/>
      <c r="B60" s="219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8"/>
      <c r="B61" s="219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8"/>
      <c r="B62" s="219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8"/>
      <c r="B63" s="219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8"/>
      <c r="B64" s="219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8"/>
      <c r="B65" s="219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8"/>
      <c r="B66" s="219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8"/>
      <c r="B67" s="219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8"/>
      <c r="B68" s="219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8"/>
      <c r="B69" s="219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20"/>
      <c r="B70" s="221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5" t="s">
        <v>842</v>
      </c>
      <c r="B72" s="305"/>
      <c r="C72" s="305"/>
      <c r="D72" s="305"/>
      <c r="E72" s="30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1"/>
      <c r="B74" s="211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1"/>
      <c r="B75" s="211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1"/>
      <c r="B76" s="211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1"/>
      <c r="B77" s="211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1"/>
      <c r="B78" s="21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1"/>
      <c r="B79" s="211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1"/>
      <c r="B80" s="21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1"/>
      <c r="B81" s="211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1"/>
      <c r="B82" s="211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1"/>
      <c r="B83" s="211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1"/>
      <c r="B84" s="211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1"/>
      <c r="B85" s="211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1"/>
      <c r="B86" s="211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1"/>
      <c r="B87" s="211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1"/>
      <c r="B88" s="211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1"/>
      <c r="B89" s="211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1"/>
      <c r="B90" s="211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I29" sqref="I29"/>
    </sheetView>
  </sheetViews>
  <sheetFormatPr defaultRowHeight="11.25" x14ac:dyDescent="0.2"/>
  <cols>
    <col min="2" max="3" width="14.1640625" bestFit="1" customWidth="1"/>
  </cols>
  <sheetData>
    <row r="1" spans="1:3" x14ac:dyDescent="0.2">
      <c r="A1" s="185"/>
    </row>
    <row r="2" spans="1:3" x14ac:dyDescent="0.2">
      <c r="A2" s="185"/>
    </row>
    <row r="3" spans="1:3" x14ac:dyDescent="0.2">
      <c r="A3" s="185"/>
    </row>
    <row r="4" spans="1:3" x14ac:dyDescent="0.2">
      <c r="A4" s="275"/>
      <c r="B4" s="276"/>
      <c r="C4" s="277"/>
    </row>
    <row r="5" spans="1:3" x14ac:dyDescent="0.2">
      <c r="A5" s="278"/>
      <c r="B5" s="276"/>
      <c r="C5" s="277"/>
    </row>
    <row r="6" spans="1:3" x14ac:dyDescent="0.2">
      <c r="B6" s="276"/>
      <c r="C6" s="276"/>
    </row>
    <row r="7" spans="1:3" x14ac:dyDescent="0.2">
      <c r="C7" s="276"/>
    </row>
    <row r="11" spans="1:3" x14ac:dyDescent="0.2">
      <c r="A11" s="185"/>
      <c r="B11" s="185"/>
      <c r="C11" s="185"/>
    </row>
    <row r="13" spans="1:3" x14ac:dyDescent="0.2">
      <c r="A13" s="275"/>
      <c r="B13" s="276"/>
      <c r="C13" s="277"/>
    </row>
    <row r="14" spans="1:3" x14ac:dyDescent="0.2">
      <c r="A14" s="275"/>
      <c r="B14" s="276"/>
    </row>
    <row r="15" spans="1:3" x14ac:dyDescent="0.2">
      <c r="A15" s="275"/>
      <c r="B15" s="276"/>
      <c r="C15" s="277"/>
    </row>
    <row r="16" spans="1:3" x14ac:dyDescent="0.2">
      <c r="A16" s="275"/>
      <c r="B16" s="276"/>
    </row>
    <row r="17" spans="1:2" x14ac:dyDescent="0.2">
      <c r="A17" s="275"/>
      <c r="B17" s="2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2018-10-09T16:38:20Z</cp:lastPrinted>
  <dcterms:created xsi:type="dcterms:W3CDTF">1997-12-04T19:04:30Z</dcterms:created>
  <dcterms:modified xsi:type="dcterms:W3CDTF">2018-12-03T19:57:07Z</dcterms:modified>
</cp:coreProperties>
</file>