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600" windowHeight="95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21" i="1" l="1"/>
  <c r="K521" i="1"/>
  <c r="I502" i="1" l="1"/>
  <c r="I499" i="1"/>
  <c r="I498" i="1"/>
  <c r="I495" i="1"/>
  <c r="I492" i="1"/>
  <c r="H492" i="1"/>
  <c r="I491" i="1"/>
  <c r="H502" i="1"/>
  <c r="H499" i="1"/>
  <c r="H498" i="1"/>
  <c r="H495" i="1"/>
  <c r="H491" i="1"/>
  <c r="G502" i="1"/>
  <c r="G499" i="1"/>
  <c r="G495" i="1"/>
  <c r="G498" i="1" s="1"/>
  <c r="F502" i="1"/>
  <c r="F499" i="1"/>
  <c r="F498" i="1"/>
  <c r="H591" i="1"/>
  <c r="I49" i="1" l="1"/>
  <c r="F50" i="1"/>
  <c r="F24" i="1"/>
  <c r="G472" i="1"/>
  <c r="F472" i="1"/>
  <c r="G468" i="1"/>
  <c r="I468" i="1"/>
  <c r="J468" i="1"/>
  <c r="F468" i="1"/>
  <c r="F13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D7" i="13" s="1"/>
  <c r="C7" i="13" s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C114" i="2" s="1"/>
  <c r="F18" i="13"/>
  <c r="G18" i="13"/>
  <c r="L252" i="1"/>
  <c r="F19" i="13"/>
  <c r="D19" i="13" s="1"/>
  <c r="C19" i="13" s="1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C10" i="10" s="1"/>
  <c r="L277" i="1"/>
  <c r="E110" i="2" s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296" i="1"/>
  <c r="L309" i="1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28" i="1" s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94" i="1"/>
  <c r="C58" i="2" s="1"/>
  <c r="F111" i="1"/>
  <c r="G111" i="1"/>
  <c r="H79" i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F85" i="2" s="1"/>
  <c r="I162" i="1"/>
  <c r="C12" i="10"/>
  <c r="L250" i="1"/>
  <c r="L332" i="1"/>
  <c r="L254" i="1"/>
  <c r="L268" i="1"/>
  <c r="L269" i="1"/>
  <c r="L349" i="1"/>
  <c r="L350" i="1"/>
  <c r="E143" i="2" s="1"/>
  <c r="I665" i="1"/>
  <c r="I670" i="1"/>
  <c r="L229" i="1"/>
  <c r="F661" i="1"/>
  <c r="G661" i="1"/>
  <c r="H661" i="1"/>
  <c r="I661" i="1" s="1"/>
  <c r="H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E31" i="2" s="1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7" i="2"/>
  <c r="E57" i="2"/>
  <c r="E58" i="2"/>
  <c r="E62" i="2" s="1"/>
  <c r="E63" i="2" s="1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1" i="2"/>
  <c r="E111" i="2"/>
  <c r="E112" i="2"/>
  <c r="C113" i="2"/>
  <c r="E113" i="2"/>
  <c r="E114" i="2"/>
  <c r="D115" i="2"/>
  <c r="F115" i="2"/>
  <c r="G115" i="2"/>
  <c r="E119" i="2"/>
  <c r="C120" i="2"/>
  <c r="E120" i="2"/>
  <c r="C121" i="2"/>
  <c r="E121" i="2"/>
  <c r="E123" i="2"/>
  <c r="E124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J641" i="1" s="1"/>
  <c r="F470" i="1"/>
  <c r="G470" i="1"/>
  <c r="I470" i="1"/>
  <c r="J470" i="1"/>
  <c r="J476" i="1" s="1"/>
  <c r="H626" i="1" s="1"/>
  <c r="F474" i="1"/>
  <c r="G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L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F571" i="1" s="1"/>
  <c r="G565" i="1"/>
  <c r="H565" i="1"/>
  <c r="H571" i="1" s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2" i="1"/>
  <c r="G623" i="1"/>
  <c r="H627" i="1"/>
  <c r="H628" i="1"/>
  <c r="H630" i="1"/>
  <c r="H631" i="1"/>
  <c r="H632" i="1"/>
  <c r="G634" i="1"/>
  <c r="J634" i="1" s="1"/>
  <c r="H635" i="1"/>
  <c r="H636" i="1"/>
  <c r="H637" i="1"/>
  <c r="H638" i="1"/>
  <c r="G640" i="1"/>
  <c r="G641" i="1"/>
  <c r="G643" i="1"/>
  <c r="H643" i="1"/>
  <c r="G644" i="1"/>
  <c r="J644" i="1" s="1"/>
  <c r="H644" i="1"/>
  <c r="G645" i="1"/>
  <c r="G651" i="1"/>
  <c r="G652" i="1"/>
  <c r="H652" i="1"/>
  <c r="G653" i="1"/>
  <c r="H653" i="1"/>
  <c r="G654" i="1"/>
  <c r="H654" i="1"/>
  <c r="H655" i="1"/>
  <c r="L256" i="1"/>
  <c r="G164" i="2"/>
  <c r="L351" i="1"/>
  <c r="C70" i="2"/>
  <c r="D62" i="2"/>
  <c r="D18" i="13"/>
  <c r="C18" i="13" s="1"/>
  <c r="D17" i="13"/>
  <c r="C17" i="13" s="1"/>
  <c r="F78" i="2"/>
  <c r="F81" i="2" s="1"/>
  <c r="D50" i="2"/>
  <c r="F18" i="2"/>
  <c r="E103" i="2"/>
  <c r="D14" i="13"/>
  <c r="C14" i="13" s="1"/>
  <c r="L427" i="1"/>
  <c r="K571" i="1"/>
  <c r="I169" i="1"/>
  <c r="J643" i="1"/>
  <c r="I476" i="1"/>
  <c r="H625" i="1" s="1"/>
  <c r="F169" i="1"/>
  <c r="J140" i="1"/>
  <c r="I552" i="1"/>
  <c r="G22" i="2"/>
  <c r="C29" i="10"/>
  <c r="L393" i="1"/>
  <c r="C138" i="2" s="1"/>
  <c r="F22" i="13"/>
  <c r="L560" i="1"/>
  <c r="F338" i="1"/>
  <c r="F352" i="1" s="1"/>
  <c r="G192" i="1"/>
  <c r="C35" i="10"/>
  <c r="D5" i="13"/>
  <c r="C5" i="13" s="1"/>
  <c r="J655" i="1"/>
  <c r="I545" i="1"/>
  <c r="G36" i="2"/>
  <c r="C22" i="13"/>
  <c r="G552" i="1" l="1"/>
  <c r="J552" i="1"/>
  <c r="K545" i="1"/>
  <c r="H545" i="1"/>
  <c r="H552" i="1"/>
  <c r="K549" i="1"/>
  <c r="E109" i="2"/>
  <c r="E115" i="2" s="1"/>
  <c r="G161" i="2"/>
  <c r="G156" i="2"/>
  <c r="E128" i="2"/>
  <c r="C15" i="10"/>
  <c r="L290" i="1"/>
  <c r="L338" i="1" s="1"/>
  <c r="L352" i="1" s="1"/>
  <c r="J651" i="1"/>
  <c r="K598" i="1"/>
  <c r="G647" i="1" s="1"/>
  <c r="K605" i="1"/>
  <c r="G648" i="1" s="1"/>
  <c r="J640" i="1"/>
  <c r="I52" i="1"/>
  <c r="H620" i="1" s="1"/>
  <c r="J620" i="1" s="1"/>
  <c r="G625" i="1"/>
  <c r="J625" i="1" s="1"/>
  <c r="F476" i="1"/>
  <c r="H622" i="1" s="1"/>
  <c r="J622" i="1" s="1"/>
  <c r="G476" i="1"/>
  <c r="H623" i="1" s="1"/>
  <c r="J623" i="1" s="1"/>
  <c r="D145" i="2"/>
  <c r="C25" i="10"/>
  <c r="C32" i="10"/>
  <c r="H647" i="1"/>
  <c r="G649" i="1"/>
  <c r="J649" i="1" s="1"/>
  <c r="C21" i="10"/>
  <c r="C124" i="2"/>
  <c r="C20" i="10"/>
  <c r="D12" i="13"/>
  <c r="C12" i="13" s="1"/>
  <c r="C17" i="10"/>
  <c r="C118" i="2"/>
  <c r="A40" i="12"/>
  <c r="I257" i="1"/>
  <c r="I271" i="1" s="1"/>
  <c r="H257" i="1"/>
  <c r="H271" i="1" s="1"/>
  <c r="L247" i="1"/>
  <c r="H660" i="1" s="1"/>
  <c r="H664" i="1" s="1"/>
  <c r="A13" i="12"/>
  <c r="D91" i="2"/>
  <c r="D81" i="2"/>
  <c r="D18" i="2"/>
  <c r="H52" i="1"/>
  <c r="H619" i="1" s="1"/>
  <c r="C18" i="2"/>
  <c r="J645" i="1"/>
  <c r="J639" i="1"/>
  <c r="J617" i="1"/>
  <c r="K551" i="1"/>
  <c r="E16" i="13"/>
  <c r="F552" i="1"/>
  <c r="H25" i="13"/>
  <c r="F112" i="1"/>
  <c r="D63" i="2"/>
  <c r="G624" i="1"/>
  <c r="L534" i="1"/>
  <c r="K500" i="1"/>
  <c r="I460" i="1"/>
  <c r="I452" i="1"/>
  <c r="I446" i="1"/>
  <c r="G642" i="1" s="1"/>
  <c r="C123" i="2"/>
  <c r="C119" i="2"/>
  <c r="C112" i="2"/>
  <c r="C115" i="2" s="1"/>
  <c r="C78" i="2"/>
  <c r="C81" i="2" s="1"/>
  <c r="L211" i="1"/>
  <c r="C16" i="10"/>
  <c r="C11" i="10"/>
  <c r="K550" i="1"/>
  <c r="K503" i="1"/>
  <c r="L382" i="1"/>
  <c r="G636" i="1" s="1"/>
  <c r="J636" i="1" s="1"/>
  <c r="K338" i="1"/>
  <c r="K352" i="1" s="1"/>
  <c r="G81" i="2"/>
  <c r="C62" i="2"/>
  <c r="C63" i="2" s="1"/>
  <c r="G662" i="1"/>
  <c r="I662" i="1" s="1"/>
  <c r="C19" i="10"/>
  <c r="G112" i="1"/>
  <c r="C36" i="10" s="1"/>
  <c r="D29" i="13"/>
  <c r="C29" i="13" s="1"/>
  <c r="C26" i="10"/>
  <c r="G650" i="1"/>
  <c r="J650" i="1" s="1"/>
  <c r="E13" i="13"/>
  <c r="C13" i="13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664" i="1" s="1"/>
  <c r="G667" i="1" s="1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J619" i="1"/>
  <c r="D103" i="2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L545" i="1" l="1"/>
  <c r="E145" i="2"/>
  <c r="G629" i="1"/>
  <c r="H468" i="1"/>
  <c r="F660" i="1"/>
  <c r="F664" i="1" s="1"/>
  <c r="F672" i="1" s="1"/>
  <c r="C4" i="10" s="1"/>
  <c r="G633" i="1"/>
  <c r="H472" i="1"/>
  <c r="J647" i="1"/>
  <c r="F51" i="2"/>
  <c r="C128" i="2"/>
  <c r="C145" i="2" s="1"/>
  <c r="C28" i="10"/>
  <c r="D23" i="10" s="1"/>
  <c r="H667" i="1"/>
  <c r="H672" i="1"/>
  <c r="C6" i="10" s="1"/>
  <c r="L257" i="1"/>
  <c r="L271" i="1" s="1"/>
  <c r="G632" i="1" s="1"/>
  <c r="J632" i="1" s="1"/>
  <c r="G672" i="1"/>
  <c r="C5" i="10" s="1"/>
  <c r="D104" i="2"/>
  <c r="C104" i="2"/>
  <c r="D31" i="13"/>
  <c r="C31" i="13" s="1"/>
  <c r="E33" i="13"/>
  <c r="D35" i="13" s="1"/>
  <c r="C16" i="13"/>
  <c r="G104" i="2"/>
  <c r="K552" i="1"/>
  <c r="C25" i="13"/>
  <c r="H33" i="13"/>
  <c r="I461" i="1"/>
  <c r="H642" i="1" s="1"/>
  <c r="J642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H629" i="1"/>
  <c r="J629" i="1" s="1"/>
  <c r="H470" i="1"/>
  <c r="F667" i="1"/>
  <c r="H474" i="1"/>
  <c r="H476" i="1" s="1"/>
  <c r="H624" i="1" s="1"/>
  <c r="J624" i="1" s="1"/>
  <c r="H633" i="1"/>
  <c r="J633" i="1" s="1"/>
  <c r="D20" i="10"/>
  <c r="D26" i="10"/>
  <c r="D15" i="10"/>
  <c r="D24" i="10"/>
  <c r="D11" i="10"/>
  <c r="D21" i="10"/>
  <c r="D27" i="10"/>
  <c r="D17" i="10"/>
  <c r="D10" i="10"/>
  <c r="D25" i="10"/>
  <c r="D13" i="10"/>
  <c r="D16" i="10"/>
  <c r="D18" i="10"/>
  <c r="D22" i="10"/>
  <c r="D12" i="10"/>
  <c r="D19" i="10"/>
  <c r="C30" i="10"/>
  <c r="D33" i="13"/>
  <c r="D36" i="13" s="1"/>
  <c r="C41" i="10"/>
  <c r="D38" i="10" s="1"/>
  <c r="I667" i="1" l="1"/>
  <c r="H656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<sst xmlns="http://schemas.openxmlformats.org/spreadsheetml/2006/main" count="3961" uniqueCount="917">
  <si>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</si>
  <si>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</si>
  <si>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</si>
  <si>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</si>
  <si>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</si>
  <si>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</si>
  <si>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</si>
  <si>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</si>
  <si>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</si>
  <si>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</si>
  <si>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</si>
  <si>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</si>
  <si>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</si>
  <si>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</si>
  <si>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</si>
  <si>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</si>
  <si>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</si>
  <si>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</si>
  <si>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</si>
  <si>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</si>
  <si>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</si>
  <si>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</si>
  <si>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</si>
  <si>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</si>
  <si>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</si>
  <si>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</si>
  <si>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</si>
  <si>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</si>
  <si>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</si>
  <si>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</si>
  <si>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</si>
  <si>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</si>
  <si>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</si>
  <si>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</si>
  <si>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</si>
  <si>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</si>
  <si>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</si>
  <si>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</si>
  <si>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</si>
  <si>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</si>
  <si>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</si>
  <si>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</si>
  <si>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</si>
  <si>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</si>
  <si>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</si>
  <si>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</si>
  <si>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</si>
  <si>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</si>
  <si>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</si>
  <si>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</si>
  <si>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</si>
  <si>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</si>
  <si>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</si>
  <si>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</si>
  <si>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</si>
  <si>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</si>
  <si>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</si>
  <si>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</si>
  <si>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</si>
  <si>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</si>
  <si>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</si>
  <si>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</si>
  <si>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</si>
  <si>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</si>
  <si>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</si>
  <si>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</si>
  <si>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</si>
  <si>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</si>
  <si>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</si>
  <si>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</si>
  <si>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</si>
  <si>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</si>
  <si>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</si>
  <si>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</si>
  <si>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</si>
  <si>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</si>
  <si>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</si>
  <si>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</si>
  <si>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</si>
  <si>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</si>
  <si>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</si>
  <si>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</si>
  <si>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</si>
  <si>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</si>
  <si>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</si>
  <si>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</si>
  <si>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</si>
  <si>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</si>
  <si>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</si>
  <si>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</si>
  <si>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</si>
  <si>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</si>
  <si>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</si>
  <si>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</si>
  <si>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</si>
  <si>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</si>
  <si>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</si>
  <si>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</si>
  <si>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</si>
  <si>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</si>
  <si>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</si>
  <si>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</si>
  <si>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</si>
  <si>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</si>
  <si>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</si>
  <si>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</si>
  <si>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</si>
  <si>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</si>
  <si>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</si>
  <si>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</si>
  <si>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</si>
  <si>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</si>
  <si>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</si>
  <si>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</si>
  <si>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</si>
  <si>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</si>
  <si>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</si>
  <si>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</si>
  <si>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</si>
  <si>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</si>
  <si>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</si>
  <si>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</si>
  <si>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</si>
  <si>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</si>
  <si>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</si>
  <si>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</si>
  <si>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</si>
  <si>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</si>
  <si>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</si>
  <si>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</si>
  <si>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</si>
  <si>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</si>
  <si>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</si>
  <si>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</si>
  <si>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</si>
  <si>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</si>
  <si>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</si>
  <si>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</si>
  <si>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</si>
  <si>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</si>
  <si>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</si>
  <si>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</si>
  <si>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</si>
  <si>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</si>
  <si>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</si>
  <si>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</si>
  <si>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</si>
  <si>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</si>
  <si>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</si>
  <si>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</si>
  <si>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</si>
  <si>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</si>
  <si>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</si>
  <si>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</si>
  <si>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</si>
  <si>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</si>
  <si>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</si>
  <si>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</si>
  <si>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</si>
  <si>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</si>
  <si>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</si>
  <si>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</si>
  <si>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</si>
  <si>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</si>
  <si>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</si>
  <si>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</si>
  <si>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</si>
  <si>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</si>
  <si>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</si>
  <si>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</si>
  <si>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</si>
  <si>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</si>
  <si>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</si>
  <si>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</si>
  <si>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</si>
  <si>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</si>
  <si>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</si>
  <si>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</si>
  <si>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</si>
  <si>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</si>
  <si>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</si>
  <si>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</si>
  <si>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</si>
  <si>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</si>
  <si>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</si>
  <si>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</si>
  <si>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</si>
  <si>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</si>
  <si>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</si>
  <si>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</si>
  <si>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</si>
  <si>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</si>
  <si>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</si>
  <si>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</si>
  <si>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</si>
  <si>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</si>
  <si>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</si>
  <si>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</si>
  <si>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</si>
  <si>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</si>
  <si>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</si>
  <si>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</si>
  <si>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</si>
  <si>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</si>
  <si>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</si>
  <si>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</si>
  <si>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</si>
  <si>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</si>
  <si>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</si>
  <si>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</si>
  <si>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</si>
  <si>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</si>
  <si>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</si>
  <si>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</si>
  <si>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</si>
  <si>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</si>
  <si>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</si>
  <si>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</si>
  <si>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</si>
  <si>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</si>
  <si>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</si>
  <si>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</si>
  <si>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</si>
  <si>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</si>
  <si>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</si>
  <si>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</si>
  <si>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</si>
  <si>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</si>
  <si>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</si>
  <si>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</si>
  <si>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</si>
  <si>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</si>
  <si>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</si>
  <si>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</si>
  <si>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</si>
  <si>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</si>
  <si>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</si>
  <si>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</si>
  <si>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</si>
  <si>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</si>
  <si>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</si>
  <si>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</si>
  <si>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</si>
  <si>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</si>
  <si>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</si>
  <si>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</si>
  <si>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</si>
  <si>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</si>
  <si>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</si>
  <si>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</si>
  <si>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</si>
  <si>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</si>
  <si>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</si>
  <si>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</si>
  <si>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</si>
  <si>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</si>
  <si>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</si>
  <si>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</si>
  <si>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</si>
  <si>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</si>
  <si>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</si>
  <si>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</si>
  <si>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</si>
  <si>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</si>
  <si>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</si>
  <si>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</si>
  <si>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</si>
  <si>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</si>
  <si>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</si>
  <si>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</si>
  <si>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</si>
  <si>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</si>
  <si>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</si>
  <si>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</si>
  <si>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</si>
  <si>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</si>
  <si>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</si>
  <si>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</si>
  <si>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</si>
  <si>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</si>
  <si>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</si>
  <si>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</si>
  <si>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</si>
  <si>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</si>
  <si>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</si>
  <si>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</si>
  <si>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</si>
  <si>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</si>
  <si>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</si>
  <si>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</si>
  <si>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</si>
  <si>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</si>
  <si>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</si>
  <si>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</si>
  <si>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</si>
  <si>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</si>
  <si>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</si>
  <si>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</si>
  <si>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</si>
  <si>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</si>
  <si>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</si>
  <si>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</si>
  <si>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</si>
  <si>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</si>
  <si>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</si>
  <si>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</si>
  <si>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</si>
  <si>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</si>
  <si>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</si>
  <si>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</si>
  <si>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</si>
  <si>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</si>
  <si>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</si>
  <si>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</si>
  <si>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</si>
  <si>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</si>
  <si>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</si>
  <si>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</si>
  <si>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</si>
  <si>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</si>
  <si>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</si>
  <si>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</si>
  <si>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</si>
  <si>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</si>
  <si>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</si>
  <si>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</si>
  <si>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</si>
  <si>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</si>
  <si>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</si>
  <si>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</si>
  <si>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</si>
  <si>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</si>
  <si>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</si>
  <si>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</si>
  <si>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</si>
  <si>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</si>
  <si>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</si>
  <si>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</si>
  <si>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</si>
  <si>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</si>
  <si>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</si>
  <si>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</si>
  <si>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</si>
  <si>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</si>
  <si>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</si>
  <si>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</si>
  <si>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</si>
  <si>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</si>
  <si>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</si>
  <si>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</si>
  <si>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</si>
  <si>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</si>
  <si>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</si>
  <si>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</si>
  <si>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</si>
  <si>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</si>
  <si>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</si>
  <si>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</si>
  <si>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</si>
  <si>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</si>
  <si>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</si>
  <si>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</si>
  <si>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</si>
  <si>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</si>
  <si>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</si>
  <si>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</si>
  <si>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</si>
  <si>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</si>
  <si>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</si>
  <si>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</si>
  <si>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</si>
  <si>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</si>
  <si>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</si>
  <si>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</si>
  <si>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</si>
  <si>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</si>
  <si>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</si>
  <si>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</si>
  <si>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</si>
  <si>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</si>
  <si>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</si>
  <si>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</si>
  <si>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</si>
  <si>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</si>
  <si>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</si>
  <si>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</si>
  <si>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</si>
  <si>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</si>
  <si>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</si>
  <si>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</si>
  <si>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</si>
  <si>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</si>
  <si>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</si>
  <si>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</si>
  <si>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</si>
  <si>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</si>
  <si>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</si>
  <si>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</si>
  <si>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</si>
  <si>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</si>
  <si>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</si>
  <si>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</si>
  <si>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</si>
  <si>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</si>
  <si>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</si>
  <si>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</si>
  <si>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</si>
  <si>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</si>
  <si>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</si>
  <si>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</si>
  <si>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</si>
  <si>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</si>
  <si>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</si>
  <si>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</si>
  <si>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</si>
  <si>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</si>
  <si>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</si>
  <si>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</si>
  <si>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</si>
  <si>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</si>
  <si>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</si>
  <si>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</si>
  <si>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</si>
  <si>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</si>
  <si>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</si>
  <si>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</si>
  <si>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</si>
  <si>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</si>
  <si>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</si>
  <si>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</si>
  <si>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</si>
  <si>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</si>
  <si>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</si>
  <si>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</si>
  <si>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</si>
  <si>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</si>
  <si>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</si>
  <si>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</si>
  <si>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</si>
  <si>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</si>
  <si>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</si>
  <si>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</si>
  <si>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</si>
  <si>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</si>
  <si>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</si>
  <si>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</si>
  <si>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</si>
  <si>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</si>
  <si>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</si>
  <si>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</si>
  <si>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</si>
  <si>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</si>
  <si>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</si>
  <si>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</si>
  <si>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</si>
  <si>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</si>
  <si>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</si>
  <si>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</si>
  <si>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</si>
  <si>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</si>
  <si>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</si>
  <si>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</si>
  <si>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</si>
  <si>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</si>
  <si>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</si>
  <si>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</si>
  <si>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</si>
  <si>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</si>
  <si>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</si>
  <si>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</si>
  <si>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</si>
  <si>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</si>
  <si>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</si>
  <si>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</si>
  <si>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</si>
  <si>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</si>
  <si>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</si>
  <si>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</si>
  <si>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</si>
  <si>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</si>
  <si>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</si>
  <si>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</si>
  <si>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</si>
  <si>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</si>
  <si>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</si>
  <si>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</si>
  <si>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</si>
  <si>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</si>
  <si>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</si>
  <si>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</si>
  <si>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</si>
  <si>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</si>
  <si>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</si>
  <si>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</si>
  <si>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</si>
  <si>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</si>
  <si>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</si>
  <si>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</si>
  <si>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</si>
  <si>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</si>
  <si>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</si>
  <si>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</si>
  <si>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</si>
  <si>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</si>
  <si>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</si>
  <si>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</si>
  <si>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</si>
  <si>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</si>
  <si>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</si>
  <si>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</si>
  <si>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</si>
  <si>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</si>
  <si>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</si>
  <si>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</si>
  <si>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</si>
  <si>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</si>
  <si>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</si>
  <si>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</si>
  <si>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</si>
  <si>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</si>
  <si>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</si>
  <si>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</si>
  <si>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</si>
  <si>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</si>
  <si>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</si>
  <si>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</si>
  <si>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</si>
  <si>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</si>
  <si>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</si>
  <si>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</si>
  <si>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</si>
  <si>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</si>
  <si>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</si>
  <si>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</si>
  <si>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</si>
  <si>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</si>
  <si>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</si>
  <si>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</si>
  <si>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</si>
  <si>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</si>
  <si>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</si>
  <si>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</si>
  <si>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</si>
  <si>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</si>
  <si>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</si>
  <si>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</si>
  <si>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</si>
  <si>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</si>
  <si>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</si>
  <si>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</si>
  <si>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</si>
  <si>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</si>
  <si>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</si>
  <si>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</si>
  <si>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</si>
  <si>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</si>
  <si>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</si>
  <si>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</si>
  <si>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</si>
  <si>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</si>
  <si>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</si>
  <si>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</si>
  <si>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</si>
  <si>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</si>
  <si>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</si>
  <si>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</si>
  <si>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</si>
  <si>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</si>
  <si>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</si>
  <si>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</si>
  <si>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</si>
  <si>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</si>
  <si>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</si>
  <si>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</si>
  <si>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</si>
  <si>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</si>
  <si>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</si>
  <si>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</si>
  <si>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</si>
  <si>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</si>
  <si>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</si>
  <si>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</si>
  <si>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</si>
  <si>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</si>
  <si>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</si>
  <si>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</si>
  <si>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</si>
  <si>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</si>
  <si>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</si>
  <si>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</si>
  <si>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</si>
  <si>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</si>
  <si>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</si>
  <si>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</si>
  <si>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</si>
  <si>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</si>
  <si>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</si>
  <si>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</si>
  <si>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</si>
  <si>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</si>
  <si>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</si>
  <si>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</si>
  <si>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</si>
  <si>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</si>
  <si>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</si>
  <si>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</si>
  <si>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</si>
  <si>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</si>
  <si>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</si>
  <si>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</si>
  <si>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</si>
  <si>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</si>
  <si>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</si>
  <si>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</si>
  <si>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</si>
  <si>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</si>
  <si>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</si>
  <si>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</si>
  <si>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</si>
  <si>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</si>
  <si>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</si>
  <si>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</si>
  <si>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</si>
  <si>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</si>
  <si>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</si>
  <si>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</si>
  <si>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</si>
  <si>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</si>
  <si>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</si>
  <si>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</si>
  <si>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</si>
  <si>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</si>
  <si>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</si>
  <si>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</si>
  <si>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</si>
  <si>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</si>
  <si>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</si>
  <si>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</si>
  <si>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</si>
  <si>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</si>
  <si>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</si>
  <si>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</si>
  <si>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</si>
  <si>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</si>
  <si>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</si>
  <si>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</si>
  <si>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</si>
  <si>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</si>
  <si>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</si>
  <si>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</si>
  <si>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</si>
  <si>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</si>
  <si>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</si>
  <si>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</si>
  <si>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</si>
  <si>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</si>
  <si>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</si>
  <si>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</si>
  <si>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</si>
  <si>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</si>
  <si>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</si>
  <si>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</si>
  <si>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</si>
  <si>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</si>
  <si>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</si>
  <si>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</si>
  <si>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</si>
  <si>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</si>
  <si>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</si>
  <si>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</si>
  <si>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</si>
  <si>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</si>
  <si>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</si>
  <si>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</si>
  <si>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</si>
  <si>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</si>
  <si>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</si>
  <si>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</si>
  <si>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</si>
  <si>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</si>
  <si>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</si>
  <si>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</si>
  <si>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</si>
  <si>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</si>
  <si>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</si>
  <si>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</si>
  <si>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</si>
  <si>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</si>
  <si>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</si>
  <si>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</si>
  <si>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</si>
  <si>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</si>
  <si>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</si>
  <si>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</si>
  <si>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</si>
  <si>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</si>
  <si>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</si>
  <si>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</si>
  <si>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</si>
  <si>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</si>
  <si>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</si>
  <si>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</si>
  <si>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</si>
  <si>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</si>
  <si>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</si>
  <si>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</si>
  <si>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</si>
  <si>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</si>
  <si>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</si>
  <si>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</si>
  <si>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</si>
  <si>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</si>
  <si>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</si>
  <si>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</si>
  <si>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</si>
  <si>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</si>
  <si>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</si>
  <si>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</si>
  <si>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</si>
  <si>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</si>
  <si>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</si>
  <si>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</si>
  <si>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</si>
  <si>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</si>
  <si>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</si>
  <si>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</si>
  <si>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</si>
  <si>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</si>
  <si>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</si>
  <si>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</si>
  <si>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</si>
  <si>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</si>
  <si>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</si>
  <si>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</si>
  <si>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</si>
  <si>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</si>
  <si>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</si>
  <si>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</si>
  <si>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</si>
  <si>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</si>
  <si>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</si>
  <si>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</si>
  <si>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</si>
  <si>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</si>
  <si>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</si>
  <si>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</si>
  <si>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</si>
  <si>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</si>
  <si>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</si>
  <si>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</si>
  <si>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</si>
  <si>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</si>
  <si>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</si>
  <si>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</si>
  <si>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</si>
  <si>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</si>
  <si>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</si>
  <si>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</si>
  <si>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</si>
  <si>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</si>
  <si>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</si>
  <si>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</si>
  <si>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</si>
  <si>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</si>
  <si>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</si>
  <si>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</si>
  <si>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</si>
  <si>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</si>
  <si>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</si>
  <si>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</si>
  <si>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</si>
  <si>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</si>
  <si>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</si>
  <si>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</si>
  <si>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</si>
  <si>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</si>
  <si>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</si>
  <si>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</si>
  <si>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</si>
  <si>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</si>
  <si>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</si>
  <si>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</si>
  <si>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</si>
  <si>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</si>
  <si>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</si>
  <si>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</si>
  <si>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</si>
  <si>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</si>
  <si>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</si>
  <si>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</si>
  <si>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</si>
  <si>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</si>
  <si>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</si>
  <si>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</si>
  <si>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</si>
  <si>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</si>
  <si>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</si>
  <si>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</si>
  <si>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</si>
  <si>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</si>
  <si>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</si>
  <si>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</si>
  <si>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</si>
  <si>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</si>
  <si>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</si>
  <si>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</si>
  <si>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</si>
  <si>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</si>
  <si>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</si>
  <si>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</si>
  <si>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</si>
  <si>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</si>
  <si>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</si>
  <si>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</si>
  <si>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</si>
  <si>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</si>
  <si>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</si>
  <si>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</si>
  <si>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</si>
  <si>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</si>
  <si>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</si>
  <si>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</si>
  <si>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</si>
  <si>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</si>
  <si>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</si>
  <si>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</si>
  <si>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</si>
  <si>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</si>
  <si>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</si>
  <si>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</si>
  <si>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</si>
  <si>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</si>
  <si>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</si>
  <si>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</si>
  <si>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</si>
  <si>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</si>
  <si>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</si>
  <si>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</si>
  <si>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</si>
  <si>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</si>
  <si>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</si>
  <si>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</si>
  <si>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</si>
  <si>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</si>
  <si>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</si>
  <si>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</si>
  <si>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</si>
  <si>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</si>
  <si>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</si>
  <si>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</si>
  <si>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</si>
  <si>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</si>
  <si>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</si>
  <si>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</si>
  <si>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</si>
  <si>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</si>
  <si>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</si>
  <si>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</si>
  <si>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</si>
  <si>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</si>
  <si>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</si>
  <si>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</si>
  <si>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</si>
  <si>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</si>
  <si>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</si>
  <si>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</si>
  <si>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</si>
  <si>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</si>
  <si>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</si>
  <si>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</si>
  <si>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</si>
  <si>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</si>
  <si>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</si>
  <si>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</si>
  <si>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</si>
  <si>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</si>
  <si>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</si>
  <si>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</si>
  <si>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</si>
  <si>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</si>
  <si>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</si>
  <si>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</si>
  <si>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</si>
  <si>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</si>
  <si>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</si>
  <si>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</si>
  <si>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</si>
  <si>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</si>
  <si>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</si>
  <si>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</si>
  <si>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</si>
  <si>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</si>
  <si>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</si>
  <si>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</si>
  <si>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</si>
  <si>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</si>
  <si>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</si>
  <si>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</si>
  <si>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</si>
  <si>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</si>
  <si>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</si>
  <si>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</si>
  <si>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</si>
  <si>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</si>
  <si>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</si>
  <si>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</si>
  <si>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</si>
  <si>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</si>
  <si>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</si>
  <si>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</si>
  <si>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</si>
  <si>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</si>
  <si>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Unity School District</t>
  </si>
  <si>
    <t>07/12</t>
  </si>
  <si>
    <t>08/32</t>
  </si>
  <si>
    <t>07/13</t>
  </si>
  <si>
    <t>07/33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</si>
</sst>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30" zoomScaleNormal="13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539</v>
      </c>
      <c r="C2" s="21">
        <v>539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173962</v>
      </c>
      <c r="G9" s="18"/>
      <c r="H9" s="18"/>
      <c r="I9" s="18">
        <v>53356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115517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11337-267</f>
        <v>11070</v>
      </c>
      <c r="G13" s="18">
        <v>14927</v>
      </c>
      <c r="H13" s="18">
        <v>62497</v>
      </c>
      <c r="I13" s="18"/>
      <c r="J13" s="67">
        <f>SUM(I442)</f>
        <v>25000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1198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300549</v>
      </c>
      <c r="G19" s="41">
        <f>SUM(G9:G18)</f>
        <v>16125</v>
      </c>
      <c r="H19" s="41">
        <f>SUM(H9:H18)</f>
        <v>62497</v>
      </c>
      <c r="I19" s="41">
        <f>SUM(I9:I18)</f>
        <v>53356</v>
      </c>
      <c r="J19" s="41">
        <f>SUM(J9:J18)</f>
        <v>25000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16125</v>
      </c>
      <c r="H22" s="18">
        <v>60254</v>
      </c>
      <c r="I22" s="18">
        <v>39138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7334+70875</f>
        <v>78209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27765</v>
      </c>
      <c r="G29" s="18"/>
      <c r="H29" s="18">
        <v>2243</v>
      </c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113337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219311</v>
      </c>
      <c r="G32" s="41">
        <f>SUM(G22:G31)</f>
        <v>16125</v>
      </c>
      <c r="H32" s="41">
        <f>SUM(H22:H31)</f>
        <v>62497</v>
      </c>
      <c r="I32" s="41">
        <f>SUM(I22:I31)</f>
        <v>39138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25000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>
        <f>53405-40821+1682-48</f>
        <v>14218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-7734+88572+400</f>
        <v>81238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81238</v>
      </c>
      <c r="G51" s="41">
        <f>SUM(G35:G50)</f>
        <v>0</v>
      </c>
      <c r="H51" s="41">
        <f>SUM(H35:H50)</f>
        <v>0</v>
      </c>
      <c r="I51" s="41">
        <f>SUM(I35:I50)</f>
        <v>14218</v>
      </c>
      <c r="J51" s="41">
        <f>SUM(J35:J50)</f>
        <v>25000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300549</v>
      </c>
      <c r="G52" s="41">
        <f>G51+G32</f>
        <v>16125</v>
      </c>
      <c r="H52" s="41">
        <f>H51+H32</f>
        <v>62497</v>
      </c>
      <c r="I52" s="41">
        <f>I51+I32</f>
        <v>53356</v>
      </c>
      <c r="J52" s="41">
        <f>J51+J32</f>
        <v>25000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2057419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2057419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502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28585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19415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3734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23651</v>
      </c>
      <c r="G111" s="41">
        <f>SUM(G96:G110)</f>
        <v>28585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2081070</v>
      </c>
      <c r="G112" s="41">
        <f>G60+G111</f>
        <v>28585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887288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271309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1158597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104069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76709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821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180778</v>
      </c>
      <c r="G136" s="41">
        <f>SUM(G123:G135)</f>
        <v>821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1339375</v>
      </c>
      <c r="G140" s="41">
        <f>G121+SUM(G136:G137)</f>
        <v>821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16991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50975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24413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16992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44817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44817</v>
      </c>
      <c r="G162" s="41">
        <f>SUM(G150:G161)</f>
        <v>24413</v>
      </c>
      <c r="H162" s="41">
        <f>SUM(H150:H161)</f>
        <v>84958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44817</v>
      </c>
      <c r="G169" s="41">
        <f>G147+G162+SUM(G163:G168)</f>
        <v>24413</v>
      </c>
      <c r="H169" s="41">
        <f>H147+H162+SUM(H163:H168)</f>
        <v>84958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18000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18000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18000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3465262</v>
      </c>
      <c r="G193" s="47">
        <f>G112+G140+G169+G192</f>
        <v>71819</v>
      </c>
      <c r="H193" s="47">
        <f>H112+H140+H169+H192</f>
        <v>84958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385192</v>
      </c>
      <c r="G197" s="18">
        <v>224276</v>
      </c>
      <c r="H197" s="18">
        <v>7856</v>
      </c>
      <c r="I197" s="18">
        <v>40661</v>
      </c>
      <c r="J197" s="18">
        <v>2960</v>
      </c>
      <c r="K197" s="18"/>
      <c r="L197" s="19">
        <f>SUM(F197:K197)</f>
        <v>660945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107945</v>
      </c>
      <c r="G198" s="18">
        <v>42129</v>
      </c>
      <c r="H198" s="18">
        <v>207193</v>
      </c>
      <c r="I198" s="18">
        <v>529</v>
      </c>
      <c r="J198" s="18"/>
      <c r="K198" s="18"/>
      <c r="L198" s="19">
        <f>SUM(F198:K198)</f>
        <v>357796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3300</v>
      </c>
      <c r="G200" s="18">
        <v>441</v>
      </c>
      <c r="H200" s="18">
        <v>910</v>
      </c>
      <c r="I200" s="18">
        <v>1509</v>
      </c>
      <c r="J200" s="18"/>
      <c r="K200" s="18"/>
      <c r="L200" s="19">
        <f>SUM(F200:K200)</f>
        <v>6160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13882</v>
      </c>
      <c r="G202" s="18">
        <v>1123</v>
      </c>
      <c r="H202" s="18"/>
      <c r="I202" s="18">
        <v>385</v>
      </c>
      <c r="J202" s="18"/>
      <c r="K202" s="18"/>
      <c r="L202" s="19">
        <f t="shared" ref="L202:L208" si="0">SUM(F202:K202)</f>
        <v>15390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30685</v>
      </c>
      <c r="G203" s="18">
        <v>12417</v>
      </c>
      <c r="H203" s="18">
        <v>19712</v>
      </c>
      <c r="I203" s="18">
        <v>1043</v>
      </c>
      <c r="J203" s="18">
        <v>17236</v>
      </c>
      <c r="K203" s="18"/>
      <c r="L203" s="19">
        <f t="shared" si="0"/>
        <v>81093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4543</v>
      </c>
      <c r="G204" s="18">
        <v>191</v>
      </c>
      <c r="H204" s="18">
        <v>222595</v>
      </c>
      <c r="I204" s="18">
        <v>116</v>
      </c>
      <c r="J204" s="18"/>
      <c r="K204" s="18">
        <v>3387</v>
      </c>
      <c r="L204" s="19">
        <f t="shared" si="0"/>
        <v>230832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102404</v>
      </c>
      <c r="G205" s="18">
        <v>56814</v>
      </c>
      <c r="H205" s="18">
        <v>2173</v>
      </c>
      <c r="I205" s="18">
        <v>1781</v>
      </c>
      <c r="J205" s="18">
        <v>1751</v>
      </c>
      <c r="K205" s="18">
        <v>2497</v>
      </c>
      <c r="L205" s="19">
        <f t="shared" si="0"/>
        <v>167420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47207</v>
      </c>
      <c r="G207" s="18">
        <v>18856</v>
      </c>
      <c r="H207" s="18">
        <v>60634</v>
      </c>
      <c r="I207" s="18">
        <v>50176</v>
      </c>
      <c r="J207" s="18">
        <v>495</v>
      </c>
      <c r="K207" s="18"/>
      <c r="L207" s="19">
        <f t="shared" si="0"/>
        <v>177368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26740</v>
      </c>
      <c r="G208" s="18">
        <v>2137</v>
      </c>
      <c r="H208" s="18">
        <v>27667</v>
      </c>
      <c r="I208" s="18">
        <v>5736</v>
      </c>
      <c r="J208" s="18">
        <v>26999</v>
      </c>
      <c r="K208" s="18"/>
      <c r="L208" s="19">
        <f t="shared" si="0"/>
        <v>89279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721898</v>
      </c>
      <c r="G211" s="41">
        <f t="shared" si="1"/>
        <v>358384</v>
      </c>
      <c r="H211" s="41">
        <f t="shared" si="1"/>
        <v>548740</v>
      </c>
      <c r="I211" s="41">
        <f t="shared" si="1"/>
        <v>101936</v>
      </c>
      <c r="J211" s="41">
        <f t="shared" si="1"/>
        <v>49441</v>
      </c>
      <c r="K211" s="41">
        <f t="shared" si="1"/>
        <v>5884</v>
      </c>
      <c r="L211" s="41">
        <f t="shared" si="1"/>
        <v>1786283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712371</v>
      </c>
      <c r="I233" s="18"/>
      <c r="J233" s="18"/>
      <c r="K233" s="18"/>
      <c r="L233" s="19">
        <f>SUM(F233:K233)</f>
        <v>712371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254836</v>
      </c>
      <c r="I234" s="18"/>
      <c r="J234" s="18"/>
      <c r="K234" s="18"/>
      <c r="L234" s="19">
        <f>SUM(F234:K234)</f>
        <v>254836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58983</v>
      </c>
      <c r="I244" s="18"/>
      <c r="J244" s="18"/>
      <c r="K244" s="18"/>
      <c r="L244" s="19">
        <f t="shared" si="4"/>
        <v>58983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1026190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1026190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721898</v>
      </c>
      <c r="G257" s="41">
        <f t="shared" si="8"/>
        <v>358384</v>
      </c>
      <c r="H257" s="41">
        <f t="shared" si="8"/>
        <v>1574930</v>
      </c>
      <c r="I257" s="41">
        <f t="shared" si="8"/>
        <v>101936</v>
      </c>
      <c r="J257" s="41">
        <f t="shared" si="8"/>
        <v>49441</v>
      </c>
      <c r="K257" s="41">
        <f t="shared" si="8"/>
        <v>5884</v>
      </c>
      <c r="L257" s="41">
        <f t="shared" si="8"/>
        <v>2812473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220149</v>
      </c>
      <c r="L260" s="19">
        <f>SUM(F260:K260)</f>
        <v>220149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396576</v>
      </c>
      <c r="L261" s="19">
        <f>SUM(F261:K261)</f>
        <v>396576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18000</v>
      </c>
      <c r="L263" s="19">
        <f>SUM(F263:K263)</f>
        <v>18000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634725</v>
      </c>
      <c r="L270" s="41">
        <f t="shared" si="9"/>
        <v>634725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721898</v>
      </c>
      <c r="G271" s="42">
        <f t="shared" si="11"/>
        <v>358384</v>
      </c>
      <c r="H271" s="42">
        <f t="shared" si="11"/>
        <v>1574930</v>
      </c>
      <c r="I271" s="42">
        <f t="shared" si="11"/>
        <v>101936</v>
      </c>
      <c r="J271" s="42">
        <f t="shared" si="11"/>
        <v>49441</v>
      </c>
      <c r="K271" s="42">
        <f t="shared" si="11"/>
        <v>640609</v>
      </c>
      <c r="L271" s="42">
        <f t="shared" si="11"/>
        <v>3447198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24791</v>
      </c>
      <c r="G276" s="18">
        <v>4905</v>
      </c>
      <c r="H276" s="18"/>
      <c r="I276" s="18">
        <v>150</v>
      </c>
      <c r="J276" s="18"/>
      <c r="K276" s="18"/>
      <c r="L276" s="19">
        <f>SUM(F276:K276)</f>
        <v>29846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19135</v>
      </c>
      <c r="G277" s="18">
        <v>14078</v>
      </c>
      <c r="H277" s="18"/>
      <c r="I277" s="18"/>
      <c r="J277" s="18"/>
      <c r="K277" s="18"/>
      <c r="L277" s="19">
        <f>SUM(F277:K277)</f>
        <v>33213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3220</v>
      </c>
      <c r="G281" s="18">
        <v>790</v>
      </c>
      <c r="H281" s="18">
        <v>16949</v>
      </c>
      <c r="I281" s="18">
        <v>742</v>
      </c>
      <c r="J281" s="18"/>
      <c r="K281" s="18"/>
      <c r="L281" s="19">
        <f t="shared" ref="L281:L287" si="12">SUM(F281:K281)</f>
        <v>21701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198</v>
      </c>
      <c r="L285" s="19">
        <f t="shared" si="12"/>
        <v>198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47146</v>
      </c>
      <c r="G290" s="42">
        <f t="shared" si="13"/>
        <v>19773</v>
      </c>
      <c r="H290" s="42">
        <f t="shared" si="13"/>
        <v>16949</v>
      </c>
      <c r="I290" s="42">
        <f t="shared" si="13"/>
        <v>892</v>
      </c>
      <c r="J290" s="42">
        <f t="shared" si="13"/>
        <v>0</v>
      </c>
      <c r="K290" s="42">
        <f t="shared" si="13"/>
        <v>198</v>
      </c>
      <c r="L290" s="41">
        <f t="shared" si="13"/>
        <v>84958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47146</v>
      </c>
      <c r="G338" s="41">
        <f t="shared" si="20"/>
        <v>19773</v>
      </c>
      <c r="H338" s="41">
        <f t="shared" si="20"/>
        <v>16949</v>
      </c>
      <c r="I338" s="41">
        <f t="shared" si="20"/>
        <v>892</v>
      </c>
      <c r="J338" s="41">
        <f t="shared" si="20"/>
        <v>0</v>
      </c>
      <c r="K338" s="41">
        <f t="shared" si="20"/>
        <v>198</v>
      </c>
      <c r="L338" s="41">
        <f t="shared" si="20"/>
        <v>84958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47146</v>
      </c>
      <c r="G352" s="41">
        <f>G338</f>
        <v>19773</v>
      </c>
      <c r="H352" s="41">
        <f>H338</f>
        <v>16949</v>
      </c>
      <c r="I352" s="41">
        <f>I338</f>
        <v>892</v>
      </c>
      <c r="J352" s="41">
        <f>J338</f>
        <v>0</v>
      </c>
      <c r="K352" s="47">
        <f>K338+K351</f>
        <v>198</v>
      </c>
      <c r="L352" s="41">
        <f>L338+L351</f>
        <v>84958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71819</v>
      </c>
      <c r="I358" s="18"/>
      <c r="J358" s="18"/>
      <c r="K358" s="18"/>
      <c r="L358" s="13">
        <f>SUM(F358:K358)</f>
        <v>71819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71819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71819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25000</v>
      </c>
      <c r="H442" s="18"/>
      <c r="I442" s="56">
        <f t="shared" si="33"/>
        <v>25000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25000</v>
      </c>
      <c r="H446" s="13">
        <f>SUM(H439:H445)</f>
        <v>0</v>
      </c>
      <c r="I446" s="13">
        <f>SUM(I439:I445)</f>
        <v>25000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25000</v>
      </c>
      <c r="H459" s="18"/>
      <c r="I459" s="56">
        <f t="shared" si="34"/>
        <v>25000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25000</v>
      </c>
      <c r="H460" s="83">
        <f>SUM(H454:H459)</f>
        <v>0</v>
      </c>
      <c r="I460" s="83">
        <f>SUM(I454:I459)</f>
        <v>25000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25000</v>
      </c>
      <c r="H461" s="42">
        <f>H452+H460</f>
        <v>0</v>
      </c>
      <c r="I461" s="42">
        <f>I452+I460</f>
        <v>25000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63174</v>
      </c>
      <c r="G465" s="18"/>
      <c r="H465" s="18"/>
      <c r="I465" s="18">
        <v>14218</v>
      </c>
      <c r="J465" s="18">
        <v>25000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3465262</v>
      </c>
      <c r="G468" s="18">
        <f t="shared" ref="G468:J468" si="35">G193</f>
        <v>71819</v>
      </c>
      <c r="H468" s="18">
        <f t="shared" si="35"/>
        <v>84958</v>
      </c>
      <c r="I468" s="18">
        <f t="shared" si="35"/>
        <v>0</v>
      </c>
      <c r="J468" s="18">
        <f t="shared" si="35"/>
        <v>0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3465262</v>
      </c>
      <c r="G470" s="53">
        <f>SUM(G468:G469)</f>
        <v>71819</v>
      </c>
      <c r="H470" s="53">
        <f>SUM(H468:H469)</f>
        <v>84958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3447198</v>
      </c>
      <c r="G472" s="18">
        <f>L362</f>
        <v>71819</v>
      </c>
      <c r="H472" s="18">
        <f>L352</f>
        <v>84958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3447198</v>
      </c>
      <c r="G474" s="53">
        <f>SUM(G472:G473)</f>
        <v>71819</v>
      </c>
      <c r="H474" s="53">
        <f>SUM(H472:H473)</f>
        <v>84958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81238</v>
      </c>
      <c r="G476" s="53">
        <f>(G465+G470)- G474</f>
        <v>0</v>
      </c>
      <c r="H476" s="53">
        <f>(H465+H470)- H474</f>
        <v>0</v>
      </c>
      <c r="I476" s="53">
        <f>(I465+I470)- I474</f>
        <v>14218</v>
      </c>
      <c r="J476" s="53">
        <f>(J465+J470)- J474</f>
        <v>25000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915</v>
      </c>
      <c r="H491" s="154">
        <f>9/14</f>
        <v>0.6428571428571429</v>
      </c>
      <c r="I491" s="154">
        <f>7/14</f>
        <v>0.5</v>
      </c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 t="s">
        <v>916</v>
      </c>
      <c r="H492" s="154">
        <f>9/34</f>
        <v>0.26470588235294118</v>
      </c>
      <c r="I492" s="154">
        <f>7/34</f>
        <v>0.20588235294117646</v>
      </c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4571850</v>
      </c>
      <c r="G493" s="18">
        <v>550000</v>
      </c>
      <c r="H493" s="18">
        <v>738629</v>
      </c>
      <c r="I493" s="18">
        <v>1800000</v>
      </c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3.2</v>
      </c>
      <c r="G494" s="18">
        <v>3.25</v>
      </c>
      <c r="H494" s="18">
        <v>3.25</v>
      </c>
      <c r="I494" s="18">
        <v>4.5</v>
      </c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3650000</v>
      </c>
      <c r="G495" s="18">
        <f>495000-27500</f>
        <v>467500</v>
      </c>
      <c r="H495" s="18">
        <f>701698-237945</f>
        <v>463753</v>
      </c>
      <c r="I495" s="18">
        <f>1705000-95000</f>
        <v>1610000</v>
      </c>
      <c r="J495" s="18"/>
      <c r="K495" s="53">
        <f>SUM(F495:J495)</f>
        <v>6191253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>
        <v>0</v>
      </c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230000</v>
      </c>
      <c r="G497" s="18">
        <v>27500</v>
      </c>
      <c r="H497" s="18">
        <v>36500</v>
      </c>
      <c r="I497" s="18">
        <v>95000</v>
      </c>
      <c r="J497" s="18"/>
      <c r="K497" s="53">
        <f t="shared" si="36"/>
        <v>389000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3420000</v>
      </c>
      <c r="G498" s="204">
        <f>G495-G497</f>
        <v>440000</v>
      </c>
      <c r="H498" s="204">
        <f>H495-H497</f>
        <v>427253</v>
      </c>
      <c r="I498" s="204">
        <f>I495-I497</f>
        <v>1515000</v>
      </c>
      <c r="J498" s="204"/>
      <c r="K498" s="205">
        <f t="shared" si="36"/>
        <v>5802253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1039399-124423</f>
        <v>914976</v>
      </c>
      <c r="G499" s="18">
        <f>129476-14743</f>
        <v>114733</v>
      </c>
      <c r="H499" s="18">
        <f>220319-15072</f>
        <v>205247</v>
      </c>
      <c r="I499" s="18">
        <f>650025-72480</f>
        <v>577545</v>
      </c>
      <c r="J499" s="18"/>
      <c r="K499" s="53">
        <f t="shared" si="36"/>
        <v>1812501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4334976</v>
      </c>
      <c r="G500" s="42">
        <f>SUM(G498:G499)</f>
        <v>554733</v>
      </c>
      <c r="H500" s="42">
        <f>SUM(H498:H499)</f>
        <v>632500</v>
      </c>
      <c r="I500" s="42">
        <f>SUM(I498:I499)</f>
        <v>2092545</v>
      </c>
      <c r="J500" s="42">
        <f>SUM(J498:J499)</f>
        <v>0</v>
      </c>
      <c r="K500" s="42">
        <f t="shared" si="36"/>
        <v>7614754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230000</v>
      </c>
      <c r="G501" s="204">
        <v>27500</v>
      </c>
      <c r="H501" s="204">
        <v>36500</v>
      </c>
      <c r="I501" s="204">
        <v>95000</v>
      </c>
      <c r="J501" s="204"/>
      <c r="K501" s="205">
        <f t="shared" si="36"/>
        <v>389000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124423-7360</f>
        <v>117063</v>
      </c>
      <c r="G502" s="18">
        <f>14743-895</f>
        <v>13848</v>
      </c>
      <c r="H502" s="18">
        <f>15072-1186</f>
        <v>13886</v>
      </c>
      <c r="I502" s="18">
        <f>72480-4275</f>
        <v>68205</v>
      </c>
      <c r="J502" s="18"/>
      <c r="K502" s="53">
        <f t="shared" si="36"/>
        <v>213002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347063</v>
      </c>
      <c r="G503" s="42">
        <f>SUM(G501:G502)</f>
        <v>41348</v>
      </c>
      <c r="H503" s="42">
        <f>SUM(H501:H502)</f>
        <v>50386</v>
      </c>
      <c r="I503" s="42">
        <f>SUM(I501:I502)</f>
        <v>163205</v>
      </c>
      <c r="J503" s="42">
        <f>SUM(J501:J502)</f>
        <v>0</v>
      </c>
      <c r="K503" s="42">
        <f t="shared" si="36"/>
        <v>602002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127080</v>
      </c>
      <c r="G521" s="18">
        <v>56207</v>
      </c>
      <c r="H521" s="18">
        <v>145080</v>
      </c>
      <c r="I521" s="18">
        <v>529</v>
      </c>
      <c r="J521" s="18">
        <f t="shared" ref="J521:K521" si="37">J277+J198</f>
        <v>0</v>
      </c>
      <c r="K521" s="18">
        <f t="shared" si="37"/>
        <v>0</v>
      </c>
      <c r="L521" s="88">
        <f>SUM(F521:K521)</f>
        <v>328896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254836</v>
      </c>
      <c r="I523" s="18"/>
      <c r="J523" s="18"/>
      <c r="K523" s="18"/>
      <c r="L523" s="88">
        <f>SUM(F523:K523)</f>
        <v>254836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127080</v>
      </c>
      <c r="G524" s="108">
        <f t="shared" ref="G524:L524" si="38">SUM(G521:G523)</f>
        <v>56207</v>
      </c>
      <c r="H524" s="108">
        <f t="shared" si="38"/>
        <v>399916</v>
      </c>
      <c r="I524" s="108">
        <f t="shared" si="38"/>
        <v>529</v>
      </c>
      <c r="J524" s="108">
        <f t="shared" si="38"/>
        <v>0</v>
      </c>
      <c r="K524" s="108">
        <f t="shared" si="38"/>
        <v>0</v>
      </c>
      <c r="L524" s="89">
        <f t="shared" si="38"/>
        <v>583732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61113</v>
      </c>
      <c r="I526" s="18"/>
      <c r="J526" s="18"/>
      <c r="K526" s="18"/>
      <c r="L526" s="88">
        <f>SUM(F526:K526)</f>
        <v>61113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9">SUM(G526:G528)</f>
        <v>0</v>
      </c>
      <c r="H529" s="89">
        <f t="shared" si="39"/>
        <v>61113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61113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12904</v>
      </c>
      <c r="G531" s="18">
        <v>6574</v>
      </c>
      <c r="H531" s="18">
        <v>611</v>
      </c>
      <c r="I531" s="18"/>
      <c r="J531" s="18"/>
      <c r="K531" s="18">
        <v>39</v>
      </c>
      <c r="L531" s="88">
        <f>SUM(F531:K531)</f>
        <v>20128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12904</v>
      </c>
      <c r="G534" s="89">
        <f t="shared" ref="G534:L534" si="40">SUM(G531:G533)</f>
        <v>6574</v>
      </c>
      <c r="H534" s="89">
        <f t="shared" si="40"/>
        <v>611</v>
      </c>
      <c r="I534" s="89">
        <f t="shared" si="40"/>
        <v>0</v>
      </c>
      <c r="J534" s="89">
        <f t="shared" si="40"/>
        <v>0</v>
      </c>
      <c r="K534" s="89">
        <f t="shared" si="40"/>
        <v>39</v>
      </c>
      <c r="L534" s="89">
        <f t="shared" si="40"/>
        <v>20128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0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12330</v>
      </c>
      <c r="I541" s="18"/>
      <c r="J541" s="18"/>
      <c r="K541" s="18"/>
      <c r="L541" s="88">
        <f>SUM(F541:K541)</f>
        <v>12330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58983</v>
      </c>
      <c r="I543" s="18"/>
      <c r="J543" s="18"/>
      <c r="K543" s="18"/>
      <c r="L543" s="88">
        <f>SUM(F543:K543)</f>
        <v>58983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2">SUM(G541:G543)</f>
        <v>0</v>
      </c>
      <c r="H544" s="193">
        <f t="shared" si="42"/>
        <v>71313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71313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139984</v>
      </c>
      <c r="G545" s="89">
        <f t="shared" ref="G545:L545" si="43">G524+G529+G534+G539+G544</f>
        <v>62781</v>
      </c>
      <c r="H545" s="89">
        <f t="shared" si="43"/>
        <v>532953</v>
      </c>
      <c r="I545" s="89">
        <f t="shared" si="43"/>
        <v>529</v>
      </c>
      <c r="J545" s="89">
        <f t="shared" si="43"/>
        <v>0</v>
      </c>
      <c r="K545" s="89">
        <f t="shared" si="43"/>
        <v>39</v>
      </c>
      <c r="L545" s="89">
        <f t="shared" si="43"/>
        <v>736286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328896</v>
      </c>
      <c r="G549" s="87">
        <f>L526</f>
        <v>61113</v>
      </c>
      <c r="H549" s="87">
        <f>L531</f>
        <v>20128</v>
      </c>
      <c r="I549" s="87">
        <f>L536</f>
        <v>0</v>
      </c>
      <c r="J549" s="87">
        <f>L541</f>
        <v>12330</v>
      </c>
      <c r="K549" s="87">
        <f>SUM(F549:J549)</f>
        <v>422467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254836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58983</v>
      </c>
      <c r="K551" s="87">
        <f>SUM(F551:J551)</f>
        <v>313819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4">SUM(F549:F551)</f>
        <v>583732</v>
      </c>
      <c r="G552" s="89">
        <f t="shared" si="44"/>
        <v>61113</v>
      </c>
      <c r="H552" s="89">
        <f t="shared" si="44"/>
        <v>20128</v>
      </c>
      <c r="I552" s="89">
        <f t="shared" si="44"/>
        <v>0</v>
      </c>
      <c r="J552" s="89">
        <f t="shared" si="44"/>
        <v>71313</v>
      </c>
      <c r="K552" s="89">
        <f t="shared" si="44"/>
        <v>736286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6">SUM(F562:F564)</f>
        <v>0</v>
      </c>
      <c r="G565" s="89">
        <f t="shared" si="46"/>
        <v>0</v>
      </c>
      <c r="H565" s="89">
        <f t="shared" si="46"/>
        <v>0</v>
      </c>
      <c r="I565" s="89">
        <f t="shared" si="46"/>
        <v>0</v>
      </c>
      <c r="J565" s="89">
        <f t="shared" si="46"/>
        <v>0</v>
      </c>
      <c r="K565" s="89">
        <f t="shared" si="46"/>
        <v>0</v>
      </c>
      <c r="L565" s="89">
        <f t="shared" si="46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8">G560+G565+G570</f>
        <v>0</v>
      </c>
      <c r="H571" s="89">
        <f t="shared" si="48"/>
        <v>0</v>
      </c>
      <c r="I571" s="89">
        <f t="shared" si="48"/>
        <v>0</v>
      </c>
      <c r="J571" s="89">
        <f t="shared" si="48"/>
        <v>0</v>
      </c>
      <c r="K571" s="89">
        <f t="shared" si="48"/>
        <v>0</v>
      </c>
      <c r="L571" s="89">
        <f t="shared" si="48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712371</v>
      </c>
      <c r="I575" s="87">
        <f>SUM(F575:H575)</f>
        <v>712371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9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9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9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142715</v>
      </c>
      <c r="G582" s="18"/>
      <c r="H582" s="18">
        <v>254836</v>
      </c>
      <c r="I582" s="87">
        <f t="shared" si="49"/>
        <v>397551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9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9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89279-12330-2275</f>
        <v>74674</v>
      </c>
      <c r="I591" s="18"/>
      <c r="J591" s="18"/>
      <c r="K591" s="104">
        <f t="shared" ref="K591:K597" si="50">SUM(H591:J591)</f>
        <v>74674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12330</v>
      </c>
      <c r="I592" s="18"/>
      <c r="J592" s="18">
        <v>58983</v>
      </c>
      <c r="K592" s="104">
        <f t="shared" si="50"/>
        <v>71313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50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50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2275</v>
      </c>
      <c r="I595" s="18"/>
      <c r="J595" s="18"/>
      <c r="K595" s="104">
        <f t="shared" si="50"/>
        <v>2275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89279</v>
      </c>
      <c r="I598" s="108">
        <f>SUM(I591:I597)</f>
        <v>0</v>
      </c>
      <c r="J598" s="108">
        <f>SUM(J591:J597)</f>
        <v>58983</v>
      </c>
      <c r="K598" s="108">
        <f>SUM(K591:K597)</f>
        <v>148262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49441</v>
      </c>
      <c r="I604" s="18"/>
      <c r="J604" s="18"/>
      <c r="K604" s="104">
        <f>SUM(H604:J604)</f>
        <v>49441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49441</v>
      </c>
      <c r="I605" s="108">
        <f>SUM(I602:I604)</f>
        <v>0</v>
      </c>
      <c r="J605" s="108">
        <f>SUM(J602:J604)</f>
        <v>0</v>
      </c>
      <c r="K605" s="108">
        <f>SUM(K602:K604)</f>
        <v>49441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1">SUM(F611:F613)</f>
        <v>0</v>
      </c>
      <c r="G614" s="108">
        <f t="shared" si="51"/>
        <v>0</v>
      </c>
      <c r="H614" s="108">
        <f t="shared" si="51"/>
        <v>0</v>
      </c>
      <c r="I614" s="108">
        <f t="shared" si="51"/>
        <v>0</v>
      </c>
      <c r="J614" s="108">
        <f t="shared" si="51"/>
        <v>0</v>
      </c>
      <c r="K614" s="108">
        <f t="shared" si="51"/>
        <v>0</v>
      </c>
      <c r="L614" s="89">
        <f t="shared" si="51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300549</v>
      </c>
      <c r="H617" s="109">
        <f>SUM(F52)</f>
        <v>300549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16125</v>
      </c>
      <c r="H618" s="109">
        <f>SUM(G52)</f>
        <v>16125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62497</v>
      </c>
      <c r="H619" s="109">
        <f>SUM(H52)</f>
        <v>62497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53356</v>
      </c>
      <c r="H620" s="109">
        <f>SUM(I52)</f>
        <v>53356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25000</v>
      </c>
      <c r="H621" s="109">
        <f>SUM(J52)</f>
        <v>25000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81238</v>
      </c>
      <c r="H622" s="109">
        <f>F476</f>
        <v>81238</v>
      </c>
      <c r="I622" s="121" t="s">
        <v>101</v>
      </c>
      <c r="J622" s="109">
        <f t="shared" ref="J622:J655" si="52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14218</v>
      </c>
      <c r="H625" s="109">
        <f>I476</f>
        <v>14218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25000</v>
      </c>
      <c r="H626" s="109">
        <f>J476</f>
        <v>25000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3465262</v>
      </c>
      <c r="H627" s="104">
        <f>SUM(F468)</f>
        <v>3465262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71819</v>
      </c>
      <c r="H628" s="104">
        <f>SUM(G468)</f>
        <v>71819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84958</v>
      </c>
      <c r="H629" s="104">
        <f>SUM(H468)</f>
        <v>84958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3447198</v>
      </c>
      <c r="H632" s="104">
        <f>SUM(F472)</f>
        <v>3447198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84958</v>
      </c>
      <c r="H633" s="104">
        <f>SUM(H472)</f>
        <v>84958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71819</v>
      </c>
      <c r="H635" s="104">
        <f>SUM(G472)</f>
        <v>71819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2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25000</v>
      </c>
      <c r="H640" s="104">
        <f>SUM(G461)</f>
        <v>25000</v>
      </c>
      <c r="I640" s="140" t="s">
        <v>852</v>
      </c>
      <c r="J640" s="109">
        <f t="shared" si="52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2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25000</v>
      </c>
      <c r="H642" s="104">
        <f>SUM(I461)</f>
        <v>25000</v>
      </c>
      <c r="I642" s="140" t="s">
        <v>854</v>
      </c>
      <c r="J642" s="109">
        <f t="shared" si="52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2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2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2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2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148262</v>
      </c>
      <c r="H647" s="104">
        <f>L208+L226+L244</f>
        <v>148262</v>
      </c>
      <c r="I647" s="140" t="s">
        <v>394</v>
      </c>
      <c r="J647" s="109">
        <f t="shared" si="52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49441</v>
      </c>
      <c r="H648" s="104">
        <f>(J257+J338)-(J255+J336)</f>
        <v>49441</v>
      </c>
      <c r="I648" s="140" t="s">
        <v>697</v>
      </c>
      <c r="J648" s="109">
        <f t="shared" si="52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89279</v>
      </c>
      <c r="H649" s="104">
        <f>H598</f>
        <v>89279</v>
      </c>
      <c r="I649" s="140" t="s">
        <v>386</v>
      </c>
      <c r="J649" s="109">
        <f t="shared" si="52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2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58983</v>
      </c>
      <c r="H651" s="104">
        <f>J598</f>
        <v>58983</v>
      </c>
      <c r="I651" s="140" t="s">
        <v>388</v>
      </c>
      <c r="J651" s="109">
        <f t="shared" si="52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18000</v>
      </c>
      <c r="H652" s="104">
        <f>K263+K345</f>
        <v>18000</v>
      </c>
      <c r="I652" s="140" t="s">
        <v>395</v>
      </c>
      <c r="J652" s="109">
        <f t="shared" si="52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2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2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2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1943060</v>
      </c>
      <c r="G660" s="19">
        <f>(L229+L309+L359)</f>
        <v>0</v>
      </c>
      <c r="H660" s="19">
        <f>(L247+L328+L360)</f>
        <v>1026190</v>
      </c>
      <c r="I660" s="19">
        <f>SUM(F660:H660)</f>
        <v>2969250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28585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28585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62280</v>
      </c>
      <c r="G662" s="19">
        <f>(L226+L306)-(J226+J306)</f>
        <v>0</v>
      </c>
      <c r="H662" s="19">
        <f>(L244+L325)-(J244+J325)</f>
        <v>58983</v>
      </c>
      <c r="I662" s="19">
        <f>SUM(F662:H662)</f>
        <v>121263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192156</v>
      </c>
      <c r="G663" s="199">
        <f>SUM(G575:G587)+SUM(I602:I604)+L612</f>
        <v>0</v>
      </c>
      <c r="H663" s="199">
        <f>SUM(H575:H587)+SUM(J602:J604)+L613</f>
        <v>967207</v>
      </c>
      <c r="I663" s="19">
        <f>SUM(F663:H663)</f>
        <v>1159363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1660039</v>
      </c>
      <c r="G664" s="19">
        <f>G660-SUM(G661:G663)</f>
        <v>0</v>
      </c>
      <c r="H664" s="19">
        <f>H660-SUM(H661:H663)</f>
        <v>0</v>
      </c>
      <c r="I664" s="19">
        <f>I660-SUM(I661:I663)</f>
        <v>1660039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110.34</v>
      </c>
      <c r="G665" s="248"/>
      <c r="H665" s="248"/>
      <c r="I665" s="19">
        <f>SUM(F665:H665)</f>
        <v>110.34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15044.76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15044.76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15044.76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15044.76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Unity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409983</v>
      </c>
      <c r="C9" s="229">
        <f>'DOE25'!G197+'DOE25'!G215+'DOE25'!G233+'DOE25'!G276+'DOE25'!G295+'DOE25'!G314</f>
        <v>229181</v>
      </c>
    </row>
    <row r="10" spans="1:3" x14ac:dyDescent="0.2">
      <c r="A10" t="s">
        <v>773</v>
      </c>
      <c r="B10" s="240">
        <v>379499</v>
      </c>
      <c r="C10" s="240">
        <v>223380</v>
      </c>
    </row>
    <row r="11" spans="1:3" x14ac:dyDescent="0.2">
      <c r="A11" t="s">
        <v>774</v>
      </c>
      <c r="B11" s="240">
        <v>25791</v>
      </c>
      <c r="C11" s="240">
        <v>4908</v>
      </c>
    </row>
    <row r="12" spans="1:3" x14ac:dyDescent="0.2">
      <c r="A12" t="s">
        <v>775</v>
      </c>
      <c r="B12" s="240">
        <v>4693</v>
      </c>
      <c r="C12" s="240">
        <v>893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409983</v>
      </c>
      <c r="C13" s="231">
        <f>SUM(C10:C12)</f>
        <v>229181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127080</v>
      </c>
      <c r="C18" s="229">
        <f>'DOE25'!G198+'DOE25'!G216+'DOE25'!G234+'DOE25'!G277+'DOE25'!G296+'DOE25'!G315</f>
        <v>56207</v>
      </c>
    </row>
    <row r="19" spans="1:3" x14ac:dyDescent="0.2">
      <c r="A19" t="s">
        <v>773</v>
      </c>
      <c r="B19" s="240">
        <v>47275</v>
      </c>
      <c r="C19" s="240">
        <v>33680</v>
      </c>
    </row>
    <row r="20" spans="1:3" x14ac:dyDescent="0.2">
      <c r="A20" t="s">
        <v>774</v>
      </c>
      <c r="B20" s="240">
        <v>79805</v>
      </c>
      <c r="C20" s="240">
        <v>22527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127080</v>
      </c>
      <c r="C22" s="231">
        <f>SUM(C19:C21)</f>
        <v>56207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3300</v>
      </c>
      <c r="C36" s="235">
        <f>'DOE25'!G200+'DOE25'!G218+'DOE25'!G236+'DOE25'!G279+'DOE25'!G298+'DOE25'!G317</f>
        <v>441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3300</v>
      </c>
      <c r="C39" s="240">
        <v>441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3300</v>
      </c>
      <c r="C40" s="231">
        <f>SUM(C37:C39)</f>
        <v>441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4" sqref="D13:D1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Unity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1992108</v>
      </c>
      <c r="D5" s="20">
        <f>SUM('DOE25'!L197:L200)+SUM('DOE25'!L215:L218)+SUM('DOE25'!L233:L236)-F5-G5</f>
        <v>1989148</v>
      </c>
      <c r="E5" s="243"/>
      <c r="F5" s="255">
        <f>SUM('DOE25'!J197:J200)+SUM('DOE25'!J215:J218)+SUM('DOE25'!J233:J236)</f>
        <v>2960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15390</v>
      </c>
      <c r="D6" s="20">
        <f>'DOE25'!L202+'DOE25'!L220+'DOE25'!L238-F6-G6</f>
        <v>15390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81093</v>
      </c>
      <c r="D7" s="20">
        <f>'DOE25'!L203+'DOE25'!L221+'DOE25'!L239-F7-G7</f>
        <v>63857</v>
      </c>
      <c r="E7" s="243"/>
      <c r="F7" s="255">
        <f>'DOE25'!J203+'DOE25'!J221+'DOE25'!J239</f>
        <v>17236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148950</v>
      </c>
      <c r="D8" s="243"/>
      <c r="E8" s="20">
        <f>'DOE25'!L204+'DOE25'!L222+'DOE25'!L240-F8-G8-D9-D11</f>
        <v>145563</v>
      </c>
      <c r="F8" s="255">
        <f>'DOE25'!J204+'DOE25'!J222+'DOE25'!J240</f>
        <v>0</v>
      </c>
      <c r="G8" s="53">
        <f>'DOE25'!K204+'DOE25'!K222+'DOE25'!K240</f>
        <v>3387</v>
      </c>
      <c r="H8" s="259"/>
    </row>
    <row r="9" spans="1:9" x14ac:dyDescent="0.2">
      <c r="A9" s="32">
        <v>2310</v>
      </c>
      <c r="B9" t="s">
        <v>812</v>
      </c>
      <c r="C9" s="245">
        <f t="shared" si="0"/>
        <v>36741</v>
      </c>
      <c r="D9" s="244">
        <v>36741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22186</v>
      </c>
      <c r="D10" s="243"/>
      <c r="E10" s="244">
        <v>22186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45141</v>
      </c>
      <c r="D11" s="244">
        <v>45141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167420</v>
      </c>
      <c r="D12" s="20">
        <f>'DOE25'!L205+'DOE25'!L223+'DOE25'!L241-F12-G12</f>
        <v>163172</v>
      </c>
      <c r="E12" s="243"/>
      <c r="F12" s="255">
        <f>'DOE25'!J205+'DOE25'!J223+'DOE25'!J241</f>
        <v>1751</v>
      </c>
      <c r="G12" s="53">
        <f>'DOE25'!K205+'DOE25'!K223+'DOE25'!K241</f>
        <v>2497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177368</v>
      </c>
      <c r="D14" s="20">
        <f>'DOE25'!L207+'DOE25'!L225+'DOE25'!L243-F14-G14</f>
        <v>176873</v>
      </c>
      <c r="E14" s="243"/>
      <c r="F14" s="255">
        <f>'DOE25'!J207+'DOE25'!J225+'DOE25'!J243</f>
        <v>495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148262</v>
      </c>
      <c r="D15" s="20">
        <f>'DOE25'!L208+'DOE25'!L226+'DOE25'!L244-F15-G15</f>
        <v>121263</v>
      </c>
      <c r="E15" s="243"/>
      <c r="F15" s="255">
        <f>'DOE25'!J208+'DOE25'!J226+'DOE25'!J244</f>
        <v>26999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616725</v>
      </c>
      <c r="D25" s="243"/>
      <c r="E25" s="243"/>
      <c r="F25" s="258"/>
      <c r="G25" s="256"/>
      <c r="H25" s="257">
        <f>'DOE25'!L260+'DOE25'!L261+'DOE25'!L341+'DOE25'!L342</f>
        <v>616725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71819</v>
      </c>
      <c r="D29" s="20">
        <f>'DOE25'!L358+'DOE25'!L359+'DOE25'!L360-'DOE25'!I367-F29-G29</f>
        <v>71819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84958</v>
      </c>
      <c r="D31" s="20">
        <f>'DOE25'!L290+'DOE25'!L309+'DOE25'!L328+'DOE25'!L333+'DOE25'!L334+'DOE25'!L335-F31-G31</f>
        <v>84760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198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2768164</v>
      </c>
      <c r="E33" s="246">
        <f>SUM(E5:E31)</f>
        <v>167749</v>
      </c>
      <c r="F33" s="246">
        <f>SUM(F5:F31)</f>
        <v>49441</v>
      </c>
      <c r="G33" s="246">
        <f>SUM(G5:G31)</f>
        <v>6082</v>
      </c>
      <c r="H33" s="246">
        <f>SUM(H5:H31)</f>
        <v>616725</v>
      </c>
    </row>
    <row r="35" spans="2:8" ht="12" thickBot="1" x14ac:dyDescent="0.25">
      <c r="B35" s="253" t="s">
        <v>841</v>
      </c>
      <c r="D35" s="254">
        <f>E33</f>
        <v>167749</v>
      </c>
      <c r="E35" s="249"/>
    </row>
    <row r="36" spans="2:8" ht="12" thickTop="1" x14ac:dyDescent="0.2">
      <c r="B36" t="s">
        <v>809</v>
      </c>
      <c r="D36" s="20">
        <f>D33</f>
        <v>2768164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Unity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173962</v>
      </c>
      <c r="D8" s="95">
        <f>'DOE25'!G9</f>
        <v>0</v>
      </c>
      <c r="E8" s="95">
        <f>'DOE25'!H9</f>
        <v>0</v>
      </c>
      <c r="F8" s="95">
        <f>'DOE25'!I9</f>
        <v>53356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115517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11070</v>
      </c>
      <c r="D12" s="95">
        <f>'DOE25'!G13</f>
        <v>14927</v>
      </c>
      <c r="E12" s="95">
        <f>'DOE25'!H13</f>
        <v>62497</v>
      </c>
      <c r="F12" s="95">
        <f>'DOE25'!I13</f>
        <v>0</v>
      </c>
      <c r="G12" s="95">
        <f>'DOE25'!J13</f>
        <v>25000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1198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300549</v>
      </c>
      <c r="D18" s="41">
        <f>SUM(D8:D17)</f>
        <v>16125</v>
      </c>
      <c r="E18" s="41">
        <f>SUM(E8:E17)</f>
        <v>62497</v>
      </c>
      <c r="F18" s="41">
        <f>SUM(F8:F17)</f>
        <v>53356</v>
      </c>
      <c r="G18" s="41">
        <f>SUM(G8:G17)</f>
        <v>25000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16125</v>
      </c>
      <c r="E21" s="95">
        <f>'DOE25'!H22</f>
        <v>60254</v>
      </c>
      <c r="F21" s="95">
        <f>'DOE25'!I22</f>
        <v>39138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78209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27765</v>
      </c>
      <c r="D28" s="95">
        <f>'DOE25'!G29</f>
        <v>0</v>
      </c>
      <c r="E28" s="95">
        <f>'DOE25'!H29</f>
        <v>2243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113337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219311</v>
      </c>
      <c r="D31" s="41">
        <f>SUM(D21:D30)</f>
        <v>16125</v>
      </c>
      <c r="E31" s="41">
        <f>SUM(E21:E30)</f>
        <v>62497</v>
      </c>
      <c r="F31" s="41">
        <f>SUM(F21:F30)</f>
        <v>39138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25000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14218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81238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81238</v>
      </c>
      <c r="D50" s="41">
        <f>SUM(D34:D49)</f>
        <v>0</v>
      </c>
      <c r="E50" s="41">
        <f>SUM(E34:E49)</f>
        <v>0</v>
      </c>
      <c r="F50" s="41">
        <f>SUM(F34:F49)</f>
        <v>14218</v>
      </c>
      <c r="G50" s="41">
        <f>SUM(G34:G49)</f>
        <v>25000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300549</v>
      </c>
      <c r="D51" s="41">
        <f>D50+D31</f>
        <v>16125</v>
      </c>
      <c r="E51" s="41">
        <f>E50+E31</f>
        <v>62497</v>
      </c>
      <c r="F51" s="41">
        <f>F50+F31</f>
        <v>53356</v>
      </c>
      <c r="G51" s="41">
        <f>G50+G31</f>
        <v>25000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2057419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502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28585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23149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23651</v>
      </c>
      <c r="D62" s="130">
        <f>SUM(D57:D61)</f>
        <v>28585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2081070</v>
      </c>
      <c r="D63" s="22">
        <f>D56+D62</f>
        <v>28585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887288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271309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1158597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104069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76709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821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180778</v>
      </c>
      <c r="D78" s="130">
        <f>SUM(D72:D77)</f>
        <v>821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1339375</v>
      </c>
      <c r="D81" s="130">
        <f>SUM(D79:D80)+D78+D70</f>
        <v>821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44817</v>
      </c>
      <c r="D88" s="95">
        <f>SUM('DOE25'!G153:G161)</f>
        <v>24413</v>
      </c>
      <c r="E88" s="95">
        <f>SUM('DOE25'!H153:H161)</f>
        <v>84958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44817</v>
      </c>
      <c r="D91" s="131">
        <f>SUM(D85:D90)</f>
        <v>24413</v>
      </c>
      <c r="E91" s="131">
        <f>SUM(E85:E90)</f>
        <v>84958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18000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18000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3465262</v>
      </c>
      <c r="D104" s="86">
        <f>D63+D81+D91+D103</f>
        <v>71819</v>
      </c>
      <c r="E104" s="86">
        <f>E63+E81+E91+E103</f>
        <v>84958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1373316</v>
      </c>
      <c r="D109" s="24" t="s">
        <v>286</v>
      </c>
      <c r="E109" s="95">
        <f>('DOE25'!L276)+('DOE25'!L295)+('DOE25'!L314)</f>
        <v>29846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612632</v>
      </c>
      <c r="D110" s="24" t="s">
        <v>286</v>
      </c>
      <c r="E110" s="95">
        <f>('DOE25'!L277)+('DOE25'!L296)+('DOE25'!L315)</f>
        <v>33213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6160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1992108</v>
      </c>
      <c r="D115" s="86">
        <f>SUM(D109:D114)</f>
        <v>0</v>
      </c>
      <c r="E115" s="86">
        <f>SUM(E109:E114)</f>
        <v>63059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15390</v>
      </c>
      <c r="D118" s="24" t="s">
        <v>286</v>
      </c>
      <c r="E118" s="95">
        <f>+('DOE25'!L281)+('DOE25'!L300)+('DOE25'!L319)</f>
        <v>21701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81093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230832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167420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198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177368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148262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71819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820365</v>
      </c>
      <c r="D128" s="86">
        <f>SUM(D118:D127)</f>
        <v>71819</v>
      </c>
      <c r="E128" s="86">
        <f>SUM(E118:E127)</f>
        <v>21899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220149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396576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18000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634725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3447198</v>
      </c>
      <c r="D145" s="86">
        <f>(D115+D128+D144)</f>
        <v>71819</v>
      </c>
      <c r="E145" s="86">
        <f>(E115+E128+E144)</f>
        <v>84958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07/12</v>
      </c>
      <c r="C152" s="152" t="str">
        <f>'DOE25'!G491</f>
        <v>07/13</v>
      </c>
      <c r="D152" s="152">
        <f>'DOE25'!H491</f>
        <v>0.6428571428571429</v>
      </c>
      <c r="E152" s="152">
        <f>'DOE25'!I491</f>
        <v>0.5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08/32</v>
      </c>
      <c r="C153" s="152" t="str">
        <f>'DOE25'!G492</f>
        <v>07/33</v>
      </c>
      <c r="D153" s="152">
        <f>'DOE25'!H492</f>
        <v>0.26470588235294118</v>
      </c>
      <c r="E153" s="152">
        <f>'DOE25'!I492</f>
        <v>0.20588235294117646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4571850</v>
      </c>
      <c r="C154" s="137">
        <f>'DOE25'!G493</f>
        <v>550000</v>
      </c>
      <c r="D154" s="137">
        <f>'DOE25'!H493</f>
        <v>738629</v>
      </c>
      <c r="E154" s="137">
        <f>'DOE25'!I493</f>
        <v>1800000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3.25</v>
      </c>
      <c r="D155" s="137">
        <f>'DOE25'!H494</f>
        <v>3.25</v>
      </c>
      <c r="E155" s="137">
        <f>'DOE25'!I494</f>
        <v>4.5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3650000</v>
      </c>
      <c r="C156" s="137">
        <f>'DOE25'!G495</f>
        <v>467500</v>
      </c>
      <c r="D156" s="137">
        <f>'DOE25'!H495</f>
        <v>463753</v>
      </c>
      <c r="E156" s="137">
        <f>'DOE25'!I495</f>
        <v>1610000</v>
      </c>
      <c r="F156" s="137">
        <f>'DOE25'!J495</f>
        <v>0</v>
      </c>
      <c r="G156" s="138">
        <f>SUM(B156:F156)</f>
        <v>6191253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230000</v>
      </c>
      <c r="C158" s="137">
        <f>'DOE25'!G497</f>
        <v>27500</v>
      </c>
      <c r="D158" s="137">
        <f>'DOE25'!H497</f>
        <v>36500</v>
      </c>
      <c r="E158" s="137">
        <f>'DOE25'!I497</f>
        <v>95000</v>
      </c>
      <c r="F158" s="137">
        <f>'DOE25'!J497</f>
        <v>0</v>
      </c>
      <c r="G158" s="138">
        <f t="shared" si="0"/>
        <v>389000</v>
      </c>
    </row>
    <row r="159" spans="1:9" x14ac:dyDescent="0.2">
      <c r="A159" s="22" t="s">
        <v>35</v>
      </c>
      <c r="B159" s="137">
        <f>'DOE25'!F498</f>
        <v>3420000</v>
      </c>
      <c r="C159" s="137">
        <f>'DOE25'!G498</f>
        <v>440000</v>
      </c>
      <c r="D159" s="137">
        <f>'DOE25'!H498</f>
        <v>427253</v>
      </c>
      <c r="E159" s="137">
        <f>'DOE25'!I498</f>
        <v>1515000</v>
      </c>
      <c r="F159" s="137">
        <f>'DOE25'!J498</f>
        <v>0</v>
      </c>
      <c r="G159" s="138">
        <f t="shared" si="0"/>
        <v>5802253</v>
      </c>
    </row>
    <row r="160" spans="1:9" x14ac:dyDescent="0.2">
      <c r="A160" s="22" t="s">
        <v>36</v>
      </c>
      <c r="B160" s="137">
        <f>'DOE25'!F499</f>
        <v>914976</v>
      </c>
      <c r="C160" s="137">
        <f>'DOE25'!G499</f>
        <v>114733</v>
      </c>
      <c r="D160" s="137">
        <f>'DOE25'!H499</f>
        <v>205247</v>
      </c>
      <c r="E160" s="137">
        <f>'DOE25'!I499</f>
        <v>577545</v>
      </c>
      <c r="F160" s="137">
        <f>'DOE25'!J499</f>
        <v>0</v>
      </c>
      <c r="G160" s="138">
        <f t="shared" si="0"/>
        <v>1812501</v>
      </c>
    </row>
    <row r="161" spans="1:7" x14ac:dyDescent="0.2">
      <c r="A161" s="22" t="s">
        <v>37</v>
      </c>
      <c r="B161" s="137">
        <f>'DOE25'!F500</f>
        <v>4334976</v>
      </c>
      <c r="C161" s="137">
        <f>'DOE25'!G500</f>
        <v>554733</v>
      </c>
      <c r="D161" s="137">
        <f>'DOE25'!H500</f>
        <v>632500</v>
      </c>
      <c r="E161" s="137">
        <f>'DOE25'!I500</f>
        <v>2092545</v>
      </c>
      <c r="F161" s="137">
        <f>'DOE25'!J500</f>
        <v>0</v>
      </c>
      <c r="G161" s="138">
        <f t="shared" si="0"/>
        <v>7614754</v>
      </c>
    </row>
    <row r="162" spans="1:7" x14ac:dyDescent="0.2">
      <c r="A162" s="22" t="s">
        <v>38</v>
      </c>
      <c r="B162" s="137">
        <f>'DOE25'!F501</f>
        <v>230000</v>
      </c>
      <c r="C162" s="137">
        <f>'DOE25'!G501</f>
        <v>27500</v>
      </c>
      <c r="D162" s="137">
        <f>'DOE25'!H501</f>
        <v>36500</v>
      </c>
      <c r="E162" s="137">
        <f>'DOE25'!I501</f>
        <v>95000</v>
      </c>
      <c r="F162" s="137">
        <f>'DOE25'!J501</f>
        <v>0</v>
      </c>
      <c r="G162" s="138">
        <f t="shared" si="0"/>
        <v>389000</v>
      </c>
    </row>
    <row r="163" spans="1:7" x14ac:dyDescent="0.2">
      <c r="A163" s="22" t="s">
        <v>39</v>
      </c>
      <c r="B163" s="137">
        <f>'DOE25'!F502</f>
        <v>117063</v>
      </c>
      <c r="C163" s="137">
        <f>'DOE25'!G502</f>
        <v>13848</v>
      </c>
      <c r="D163" s="137">
        <f>'DOE25'!H502</f>
        <v>13886</v>
      </c>
      <c r="E163" s="137">
        <f>'DOE25'!I502</f>
        <v>68205</v>
      </c>
      <c r="F163" s="137">
        <f>'DOE25'!J502</f>
        <v>0</v>
      </c>
      <c r="G163" s="138">
        <f t="shared" si="0"/>
        <v>213002</v>
      </c>
    </row>
    <row r="164" spans="1:7" x14ac:dyDescent="0.2">
      <c r="A164" s="22" t="s">
        <v>246</v>
      </c>
      <c r="B164" s="137">
        <f>'DOE25'!F503</f>
        <v>347063</v>
      </c>
      <c r="C164" s="137">
        <f>'DOE25'!G503</f>
        <v>41348</v>
      </c>
      <c r="D164" s="137">
        <f>'DOE25'!H503</f>
        <v>50386</v>
      </c>
      <c r="E164" s="137">
        <f>'DOE25'!I503</f>
        <v>163205</v>
      </c>
      <c r="F164" s="137">
        <f>'DOE25'!J503</f>
        <v>0</v>
      </c>
      <c r="G164" s="138">
        <f t="shared" si="0"/>
        <v>602002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G52" sqref="G5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Unity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15045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15045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1403162</v>
      </c>
      <c r="D10" s="182">
        <f>ROUND((C10/$C$28)*100,1)</f>
        <v>42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645845</v>
      </c>
      <c r="D11" s="182">
        <f>ROUND((C11/$C$28)*100,1)</f>
        <v>19.399999999999999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6160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37091</v>
      </c>
      <c r="D15" s="182">
        <f t="shared" ref="D15:D27" si="0">ROUND((C15/$C$28)*100,1)</f>
        <v>1.1000000000000001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81093</v>
      </c>
      <c r="D16" s="182">
        <f t="shared" si="0"/>
        <v>2.4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230832</v>
      </c>
      <c r="D17" s="182">
        <f t="shared" si="0"/>
        <v>6.9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167420</v>
      </c>
      <c r="D18" s="182">
        <f t="shared" si="0"/>
        <v>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198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177368</v>
      </c>
      <c r="D20" s="182">
        <f t="shared" si="0"/>
        <v>5.3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148262</v>
      </c>
      <c r="D21" s="182">
        <f t="shared" si="0"/>
        <v>4.4000000000000004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396576</v>
      </c>
      <c r="D25" s="182">
        <f t="shared" si="0"/>
        <v>11.9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43234</v>
      </c>
      <c r="D27" s="182">
        <f t="shared" si="0"/>
        <v>1.3</v>
      </c>
    </row>
    <row r="28" spans="1:4" x14ac:dyDescent="0.2">
      <c r="B28" s="187" t="s">
        <v>717</v>
      </c>
      <c r="C28" s="180">
        <f>SUM(C10:C27)</f>
        <v>3337241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3337241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220149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2057419</v>
      </c>
      <c r="D35" s="182">
        <f t="shared" ref="D35:D40" si="1">ROUND((C35/$C$41)*100,1)</f>
        <v>57.5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23651</v>
      </c>
      <c r="D36" s="182">
        <f t="shared" si="1"/>
        <v>0.7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1158597</v>
      </c>
      <c r="D37" s="182">
        <f t="shared" si="1"/>
        <v>32.4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181599</v>
      </c>
      <c r="D38" s="182">
        <f t="shared" si="1"/>
        <v>5.0999999999999996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154188</v>
      </c>
      <c r="D39" s="182">
        <f t="shared" si="1"/>
        <v>4.3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3575454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46" sqref="B4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Unity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2018-11-30T17:45:51Z</dcterms:modified>
</cp:coreProperties>
</file>