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0815" yWindow="-15" windowWidth="1086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C38" i="12" l="1"/>
  <c r="C11" i="12"/>
  <c r="B11" i="12"/>
  <c r="J591" i="1" l="1"/>
  <c r="H523" i="1"/>
  <c r="H358" i="1"/>
  <c r="K240" i="1"/>
  <c r="H240" i="1"/>
  <c r="H234" i="1"/>
  <c r="H204" i="1"/>
  <c r="K205" i="1"/>
  <c r="H209" i="1"/>
  <c r="H207" i="1"/>
  <c r="H205" i="1"/>
  <c r="H203" i="1"/>
  <c r="H202" i="1"/>
  <c r="H198" i="1"/>
  <c r="H197" i="1"/>
  <c r="G97" i="1"/>
  <c r="G158" i="1"/>
  <c r="G132" i="1"/>
  <c r="F110" i="1"/>
  <c r="F24" i="1"/>
  <c r="F29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E118" i="2" s="1"/>
  <c r="L282" i="1"/>
  <c r="L283" i="1"/>
  <c r="E120" i="2" s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F112" i="1" s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3" i="10"/>
  <c r="L250" i="1"/>
  <c r="L332" i="1"/>
  <c r="L254" i="1"/>
  <c r="L268" i="1"/>
  <c r="C142" i="2" s="1"/>
  <c r="L269" i="1"/>
  <c r="L349" i="1"/>
  <c r="C26" i="10" s="1"/>
  <c r="L350" i="1"/>
  <c r="I665" i="1"/>
  <c r="I670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C114" i="2"/>
  <c r="D115" i="2"/>
  <c r="F115" i="2"/>
  <c r="G115" i="2"/>
  <c r="E119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I407" i="1"/>
  <c r="F408" i="1"/>
  <c r="H408" i="1"/>
  <c r="H644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G476" i="1" s="1"/>
  <c r="H623" i="1" s="1"/>
  <c r="J623" i="1" s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I545" i="1" s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70" i="1" s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J639" i="1" s="1"/>
  <c r="H640" i="1"/>
  <c r="G641" i="1"/>
  <c r="H641" i="1"/>
  <c r="J641" i="1" s="1"/>
  <c r="G643" i="1"/>
  <c r="H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328" i="1"/>
  <c r="D62" i="2"/>
  <c r="D63" i="2" s="1"/>
  <c r="D15" i="13"/>
  <c r="C15" i="13" s="1"/>
  <c r="D18" i="2"/>
  <c r="D50" i="2"/>
  <c r="G156" i="2"/>
  <c r="D19" i="13"/>
  <c r="C19" i="13" s="1"/>
  <c r="E13" i="13"/>
  <c r="C13" i="13" s="1"/>
  <c r="E78" i="2"/>
  <c r="E81" i="2" s="1"/>
  <c r="J571" i="1"/>
  <c r="I169" i="1"/>
  <c r="G338" i="1"/>
  <c r="G352" i="1" s="1"/>
  <c r="F169" i="1"/>
  <c r="J140" i="1"/>
  <c r="G22" i="2"/>
  <c r="H140" i="1"/>
  <c r="H25" i="13"/>
  <c r="C25" i="13" s="1"/>
  <c r="H571" i="1"/>
  <c r="H192" i="1"/>
  <c r="L309" i="1"/>
  <c r="E16" i="13"/>
  <c r="C16" i="13" s="1"/>
  <c r="J655" i="1"/>
  <c r="I571" i="1"/>
  <c r="G36" i="2"/>
  <c r="L565" i="1"/>
  <c r="H33" i="13"/>
  <c r="A40" i="12" l="1"/>
  <c r="K605" i="1"/>
  <c r="G648" i="1" s="1"/>
  <c r="K598" i="1"/>
  <c r="G647" i="1" s="1"/>
  <c r="J651" i="1"/>
  <c r="H545" i="1"/>
  <c r="K551" i="1"/>
  <c r="L544" i="1"/>
  <c r="L524" i="1"/>
  <c r="F552" i="1"/>
  <c r="K549" i="1"/>
  <c r="K552" i="1" s="1"/>
  <c r="F476" i="1"/>
  <c r="H622" i="1" s="1"/>
  <c r="J622" i="1" s="1"/>
  <c r="J476" i="1"/>
  <c r="H626" i="1" s="1"/>
  <c r="J640" i="1"/>
  <c r="L393" i="1"/>
  <c r="C138" i="2" s="1"/>
  <c r="L401" i="1"/>
  <c r="C139" i="2" s="1"/>
  <c r="L362" i="1"/>
  <c r="C27" i="10" s="1"/>
  <c r="H661" i="1"/>
  <c r="K338" i="1"/>
  <c r="C16" i="10"/>
  <c r="E128" i="2"/>
  <c r="K257" i="1"/>
  <c r="K271" i="1" s="1"/>
  <c r="G257" i="1"/>
  <c r="G271" i="1" s="1"/>
  <c r="F257" i="1"/>
  <c r="F271" i="1" s="1"/>
  <c r="C12" i="10"/>
  <c r="I257" i="1"/>
  <c r="C110" i="2"/>
  <c r="L247" i="1"/>
  <c r="H660" i="1" s="1"/>
  <c r="H257" i="1"/>
  <c r="H271" i="1" s="1"/>
  <c r="G649" i="1"/>
  <c r="J649" i="1" s="1"/>
  <c r="C123" i="2"/>
  <c r="D14" i="13"/>
  <c r="C14" i="13" s="1"/>
  <c r="C18" i="10"/>
  <c r="C17" i="10"/>
  <c r="C119" i="2"/>
  <c r="D7" i="13"/>
  <c r="C7" i="13" s="1"/>
  <c r="D6" i="13"/>
  <c r="C6" i="13" s="1"/>
  <c r="A31" i="12"/>
  <c r="C11" i="10"/>
  <c r="L211" i="1"/>
  <c r="C109" i="2"/>
  <c r="C10" i="10"/>
  <c r="D5" i="13"/>
  <c r="C5" i="13" s="1"/>
  <c r="J644" i="1"/>
  <c r="E62" i="2"/>
  <c r="E63" i="2" s="1"/>
  <c r="C91" i="2"/>
  <c r="C78" i="2"/>
  <c r="H52" i="1"/>
  <c r="H619" i="1" s="1"/>
  <c r="J617" i="1"/>
  <c r="C18" i="2"/>
  <c r="C81" i="2"/>
  <c r="F22" i="13"/>
  <c r="C22" i="13" s="1"/>
  <c r="G552" i="1"/>
  <c r="H112" i="1"/>
  <c r="D29" i="13"/>
  <c r="C29" i="13" s="1"/>
  <c r="E8" i="13"/>
  <c r="C8" i="13" s="1"/>
  <c r="D12" i="13"/>
  <c r="C12" i="13" s="1"/>
  <c r="L290" i="1"/>
  <c r="L338" i="1" s="1"/>
  <c r="L352" i="1" s="1"/>
  <c r="G633" i="1" s="1"/>
  <c r="J633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G112" i="1"/>
  <c r="C124" i="2"/>
  <c r="C111" i="2"/>
  <c r="C56" i="2"/>
  <c r="F662" i="1"/>
  <c r="I662" i="1" s="1"/>
  <c r="J338" i="1"/>
  <c r="J352" i="1" s="1"/>
  <c r="E130" i="2"/>
  <c r="E144" i="2" s="1"/>
  <c r="D127" i="2"/>
  <c r="D128" i="2" s="1"/>
  <c r="D145" i="2" s="1"/>
  <c r="C120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J647" i="1" l="1"/>
  <c r="C141" i="2"/>
  <c r="C144" i="2" s="1"/>
  <c r="G635" i="1"/>
  <c r="J635" i="1" s="1"/>
  <c r="H664" i="1"/>
  <c r="H667" i="1" s="1"/>
  <c r="E145" i="2"/>
  <c r="D31" i="13"/>
  <c r="C31" i="13" s="1"/>
  <c r="L257" i="1"/>
  <c r="L271" i="1" s="1"/>
  <c r="G632" i="1" s="1"/>
  <c r="J632" i="1" s="1"/>
  <c r="C115" i="2"/>
  <c r="E33" i="13"/>
  <c r="D35" i="13" s="1"/>
  <c r="C128" i="2"/>
  <c r="F660" i="1"/>
  <c r="I660" i="1" s="1"/>
  <c r="I664" i="1" s="1"/>
  <c r="I672" i="1" s="1"/>
  <c r="C7" i="10" s="1"/>
  <c r="C28" i="10"/>
  <c r="D24" i="10" s="1"/>
  <c r="E104" i="2"/>
  <c r="C63" i="2"/>
  <c r="C104" i="2" s="1"/>
  <c r="G104" i="2"/>
  <c r="G672" i="1"/>
  <c r="C5" i="10" s="1"/>
  <c r="L408" i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C145" i="2"/>
  <c r="D11" i="10"/>
  <c r="C30" i="10"/>
  <c r="D19" i="10"/>
  <c r="F664" i="1"/>
  <c r="F672" i="1" s="1"/>
  <c r="C4" i="10" s="1"/>
  <c r="D13" i="10"/>
  <c r="D20" i="10"/>
  <c r="D16" i="10"/>
  <c r="D26" i="10"/>
  <c r="D25" i="10"/>
  <c r="D22" i="10"/>
  <c r="D10" i="10"/>
  <c r="D15" i="10"/>
  <c r="D21" i="10"/>
  <c r="D23" i="10"/>
  <c r="D27" i="10"/>
  <c r="D18" i="10"/>
  <c r="D17" i="10"/>
  <c r="D12" i="10"/>
  <c r="G637" i="1"/>
  <c r="J637" i="1" s="1"/>
  <c r="H646" i="1"/>
  <c r="J646" i="1" s="1"/>
  <c r="I667" i="1"/>
  <c r="C41" i="10"/>
  <c r="D38" i="10" s="1"/>
  <c r="F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<sst xmlns="http://schemas.openxmlformats.org/spreadsheetml/2006/main" count="3957" uniqueCount="913">
  <si>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</si>
  <si>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</si>
  <si>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</si>
  <si>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</si>
  <si>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</si>
  <si>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</si>
  <si>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</si>
  <si>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</si>
  <si>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</si>
  <si>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</si>
  <si>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</si>
  <si>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</si>
  <si>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</si>
  <si>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</si>
  <si>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</si>
  <si>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</si>
  <si>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</si>
  <si>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</si>
  <si>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</si>
  <si>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</si>
  <si>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</si>
  <si>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</si>
  <si>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</si>
  <si>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</si>
  <si>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</si>
  <si>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</si>
  <si>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</si>
  <si>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</si>
  <si>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</si>
  <si>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</si>
  <si>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</si>
  <si>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</si>
  <si>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</si>
  <si>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</si>
  <si>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</si>
  <si>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</si>
  <si>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</si>
  <si>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</si>
  <si>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</si>
  <si>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</si>
  <si>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</si>
  <si>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</si>
  <si>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</si>
  <si>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</si>
  <si>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</si>
  <si>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</si>
  <si>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</si>
  <si>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</si>
  <si>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</si>
  <si>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</si>
  <si>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</si>
  <si>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</si>
  <si>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</si>
  <si>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</si>
  <si>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</si>
  <si>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</si>
  <si>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</si>
  <si>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</si>
  <si>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</si>
  <si>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</si>
  <si>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</si>
  <si>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</si>
  <si>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</si>
  <si>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</si>
  <si>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</si>
  <si>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</si>
  <si>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</si>
  <si>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</si>
  <si>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</si>
  <si>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</si>
  <si>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</si>
  <si>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</si>
  <si>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</si>
  <si>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</si>
  <si>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</si>
  <si>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</si>
  <si>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</si>
  <si>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</si>
  <si>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</si>
  <si>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</si>
  <si>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</si>
  <si>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</si>
  <si>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</si>
  <si>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</si>
  <si>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</si>
  <si>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</si>
  <si>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</si>
  <si>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</si>
  <si>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</si>
  <si>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</si>
  <si>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</si>
  <si>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</si>
  <si>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</si>
  <si>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</si>
  <si>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</si>
  <si>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</si>
  <si>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</si>
  <si>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</si>
  <si>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</si>
  <si>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</si>
  <si>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</si>
  <si>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</si>
  <si>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</si>
  <si>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</si>
  <si>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</si>
  <si>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</si>
  <si>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</si>
  <si>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</si>
  <si>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</si>
  <si>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</si>
  <si>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</si>
  <si>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</si>
  <si>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</si>
  <si>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</si>
  <si>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</si>
  <si>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</si>
  <si>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</si>
  <si>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</si>
  <si>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</si>
  <si>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</si>
  <si>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</si>
  <si>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</si>
  <si>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</si>
  <si>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</si>
  <si>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</si>
  <si>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</si>
  <si>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</si>
  <si>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</si>
  <si>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</si>
  <si>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</si>
  <si>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</si>
  <si>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</si>
  <si>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</si>
  <si>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</si>
  <si>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</si>
  <si>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</si>
  <si>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</si>
  <si>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</si>
  <si>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</si>
  <si>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</si>
  <si>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</si>
  <si>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</si>
  <si>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</si>
  <si>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</si>
  <si>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</si>
  <si>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</si>
  <si>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</si>
  <si>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</si>
  <si>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</si>
  <si>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</si>
  <si>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</si>
  <si>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</si>
  <si>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</si>
  <si>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</si>
  <si>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</si>
  <si>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</si>
  <si>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</si>
  <si>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</si>
  <si>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</si>
  <si>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</si>
  <si>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</si>
  <si>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</si>
  <si>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</si>
  <si>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</si>
  <si>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</si>
  <si>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</si>
  <si>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</si>
  <si>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</si>
  <si>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</si>
  <si>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</si>
  <si>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</si>
  <si>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</si>
  <si>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</si>
  <si>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</si>
  <si>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</si>
  <si>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</si>
  <si>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</si>
  <si>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</si>
  <si>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</si>
  <si>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</si>
  <si>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</si>
  <si>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</si>
  <si>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</si>
  <si>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</si>
  <si>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</si>
  <si>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</si>
  <si>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</si>
  <si>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</si>
  <si>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</si>
  <si>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</si>
  <si>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</si>
  <si>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</si>
  <si>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</si>
  <si>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</si>
  <si>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</si>
  <si>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</si>
  <si>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</si>
  <si>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</si>
  <si>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</si>
  <si>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</si>
  <si>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</si>
  <si>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</si>
  <si>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</si>
  <si>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</si>
  <si>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</si>
  <si>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</si>
  <si>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</si>
  <si>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</si>
  <si>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</si>
  <si>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</si>
  <si>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</si>
  <si>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</si>
  <si>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</si>
  <si>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</si>
  <si>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</si>
  <si>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</si>
  <si>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</si>
  <si>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</si>
  <si>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</si>
  <si>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</si>
  <si>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</si>
  <si>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</si>
  <si>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</si>
  <si>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</si>
  <si>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</si>
  <si>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</si>
  <si>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</si>
  <si>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</si>
  <si>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</si>
  <si>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</si>
  <si>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</si>
  <si>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</si>
  <si>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</si>
  <si>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</si>
  <si>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</si>
  <si>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</si>
  <si>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</si>
  <si>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</si>
  <si>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</si>
  <si>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</si>
  <si>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</si>
  <si>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</si>
  <si>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</si>
  <si>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</si>
  <si>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</si>
  <si>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</si>
  <si>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</si>
  <si>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</si>
  <si>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</si>
  <si>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</si>
  <si>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</si>
  <si>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</si>
  <si>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</si>
  <si>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</si>
  <si>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</si>
  <si>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</si>
  <si>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</si>
  <si>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</si>
  <si>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</si>
  <si>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</si>
  <si>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</si>
  <si>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</si>
  <si>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</si>
  <si>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</si>
  <si>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</si>
  <si>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</si>
  <si>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</si>
  <si>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</si>
  <si>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</si>
  <si>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</si>
  <si>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</si>
  <si>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</si>
  <si>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</si>
  <si>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</si>
  <si>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</si>
  <si>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</si>
  <si>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</si>
  <si>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</si>
  <si>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</si>
  <si>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</si>
  <si>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</si>
  <si>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</si>
  <si>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</si>
  <si>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</si>
  <si>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</si>
  <si>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</si>
  <si>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</si>
  <si>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</si>
  <si>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</si>
  <si>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</si>
  <si>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</si>
  <si>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</si>
  <si>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</si>
  <si>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</si>
  <si>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</si>
  <si>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</si>
  <si>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</si>
  <si>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</si>
  <si>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</si>
  <si>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</si>
  <si>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</si>
  <si>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</si>
  <si>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</si>
  <si>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</si>
  <si>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</si>
  <si>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</si>
  <si>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</si>
  <si>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</si>
  <si>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</si>
  <si>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</si>
  <si>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</si>
  <si>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</si>
  <si>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</si>
  <si>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</si>
  <si>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</si>
  <si>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</si>
  <si>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</si>
  <si>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</si>
  <si>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</si>
  <si>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</si>
  <si>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</si>
  <si>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</si>
  <si>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</si>
  <si>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</si>
  <si>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</si>
  <si>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</si>
  <si>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</si>
  <si>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</si>
  <si>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</si>
  <si>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</si>
  <si>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</si>
  <si>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</si>
  <si>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</si>
  <si>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</si>
  <si>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</si>
  <si>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</si>
  <si>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</si>
  <si>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</si>
  <si>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</si>
  <si>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</si>
  <si>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</si>
  <si>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</si>
  <si>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</si>
  <si>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</si>
  <si>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</si>
  <si>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</si>
  <si>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</si>
  <si>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</si>
  <si>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</si>
  <si>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</si>
  <si>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</si>
  <si>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</si>
  <si>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</si>
  <si>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</si>
  <si>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</si>
  <si>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</si>
  <si>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</si>
  <si>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</si>
  <si>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</si>
  <si>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</si>
  <si>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</si>
  <si>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</si>
  <si>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</si>
  <si>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</si>
  <si>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</si>
  <si>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</si>
  <si>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</si>
  <si>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</si>
  <si>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</si>
  <si>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</si>
  <si>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</si>
  <si>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</si>
  <si>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</si>
  <si>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</si>
  <si>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</si>
  <si>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</si>
  <si>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</si>
  <si>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</si>
  <si>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</si>
  <si>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</si>
  <si>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</si>
  <si>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</si>
  <si>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</si>
  <si>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</si>
  <si>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</si>
  <si>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</si>
  <si>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</si>
  <si>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</si>
  <si>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</si>
  <si>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</si>
  <si>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</si>
  <si>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</si>
  <si>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</si>
  <si>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</si>
  <si>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</si>
  <si>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</si>
  <si>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</si>
  <si>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</si>
  <si>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</si>
  <si>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</si>
  <si>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</si>
  <si>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</si>
  <si>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</si>
  <si>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</si>
  <si>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</si>
  <si>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</si>
  <si>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</si>
  <si>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</si>
  <si>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</si>
  <si>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</si>
  <si>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</si>
  <si>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</si>
  <si>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</si>
  <si>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</si>
  <si>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</si>
  <si>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</si>
  <si>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</si>
  <si>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</si>
  <si>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</si>
  <si>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</si>
  <si>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</si>
  <si>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</si>
  <si>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</si>
  <si>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</si>
  <si>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</si>
  <si>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</si>
  <si>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</si>
  <si>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</si>
  <si>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</si>
  <si>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</si>
  <si>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</si>
  <si>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</si>
  <si>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</si>
  <si>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</si>
  <si>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</si>
  <si>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</si>
  <si>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</si>
  <si>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</si>
  <si>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</si>
  <si>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</si>
  <si>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</si>
  <si>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</si>
  <si>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</si>
  <si>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</si>
  <si>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</si>
  <si>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</si>
  <si>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</si>
  <si>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</si>
  <si>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</si>
  <si>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</si>
  <si>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</si>
  <si>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</si>
  <si>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</si>
  <si>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</si>
  <si>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</si>
  <si>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</si>
  <si>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</si>
  <si>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</si>
  <si>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</si>
  <si>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</si>
  <si>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</si>
  <si>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</si>
  <si>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</si>
  <si>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</si>
  <si>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</si>
  <si>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</si>
  <si>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</si>
  <si>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</si>
  <si>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</si>
  <si>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</si>
  <si>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</si>
  <si>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</si>
  <si>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</si>
  <si>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</si>
  <si>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</si>
  <si>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</si>
  <si>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</si>
  <si>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</si>
  <si>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</si>
  <si>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</si>
  <si>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</si>
  <si>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</si>
  <si>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</si>
  <si>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</si>
  <si>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</si>
  <si>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</si>
  <si>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</si>
  <si>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</si>
  <si>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</si>
  <si>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</si>
  <si>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</si>
  <si>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</si>
  <si>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</si>
  <si>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</si>
  <si>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</si>
  <si>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</si>
  <si>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</si>
  <si>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</si>
  <si>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</si>
  <si>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</si>
  <si>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</si>
  <si>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</si>
  <si>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</si>
  <si>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</si>
  <si>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</si>
  <si>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</si>
  <si>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</si>
  <si>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</si>
  <si>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</si>
  <si>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</si>
  <si>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</si>
  <si>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</si>
  <si>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</si>
  <si>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</si>
  <si>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</si>
  <si>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</si>
  <si>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</si>
  <si>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</si>
  <si>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</si>
  <si>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</si>
  <si>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</si>
  <si>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</si>
  <si>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</si>
  <si>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</si>
  <si>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</si>
  <si>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</si>
  <si>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</si>
  <si>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</si>
  <si>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</si>
  <si>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</si>
  <si>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</si>
  <si>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</si>
  <si>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</si>
  <si>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</si>
  <si>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</si>
  <si>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</si>
  <si>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</si>
  <si>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</si>
  <si>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</si>
  <si>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</si>
  <si>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</si>
  <si>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</si>
  <si>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</si>
  <si>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</si>
  <si>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</si>
  <si>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</si>
  <si>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</si>
  <si>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</si>
  <si>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</si>
  <si>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</si>
  <si>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</si>
  <si>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</si>
  <si>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</si>
  <si>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</si>
  <si>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</si>
  <si>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</si>
  <si>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</si>
  <si>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</si>
  <si>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</si>
  <si>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</si>
  <si>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</si>
  <si>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</si>
  <si>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</si>
  <si>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</si>
  <si>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</si>
  <si>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</si>
  <si>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</si>
  <si>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</si>
  <si>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</si>
  <si>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</si>
  <si>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</si>
  <si>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</si>
  <si>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</si>
  <si>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</si>
  <si>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</si>
  <si>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</si>
  <si>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</si>
  <si>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</si>
  <si>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</si>
  <si>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</si>
  <si>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</si>
  <si>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</si>
  <si>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</si>
  <si>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</si>
  <si>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</si>
  <si>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</si>
  <si>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</si>
  <si>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</si>
  <si>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</si>
  <si>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</si>
  <si>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</si>
  <si>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</si>
  <si>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</si>
  <si>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</si>
  <si>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</si>
  <si>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</si>
  <si>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</si>
  <si>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</si>
  <si>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</si>
  <si>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</si>
  <si>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</si>
  <si>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</si>
  <si>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</si>
  <si>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</si>
  <si>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</si>
  <si>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</si>
  <si>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</si>
  <si>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</si>
  <si>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</si>
  <si>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</si>
  <si>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</si>
  <si>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</si>
  <si>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</si>
  <si>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</si>
  <si>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</si>
  <si>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</si>
  <si>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</si>
  <si>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</si>
  <si>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</si>
  <si>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</si>
  <si>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</si>
  <si>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</si>
  <si>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</si>
  <si>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</si>
  <si>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</si>
  <si>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</si>
  <si>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</si>
  <si>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</si>
  <si>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</si>
  <si>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</si>
  <si>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</si>
  <si>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</si>
  <si>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</si>
  <si>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</si>
  <si>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</si>
  <si>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</si>
  <si>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</si>
  <si>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</si>
  <si>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</si>
  <si>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</si>
  <si>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</si>
  <si>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</si>
  <si>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</si>
  <si>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</si>
  <si>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</si>
  <si>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</si>
  <si>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</si>
  <si>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</si>
  <si>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</si>
  <si>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</si>
  <si>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</si>
  <si>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</si>
  <si>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</si>
  <si>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</si>
  <si>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</si>
  <si>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</si>
  <si>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</si>
  <si>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</si>
  <si>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</si>
  <si>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</si>
  <si>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</si>
  <si>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</si>
  <si>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</si>
  <si>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</si>
  <si>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</si>
  <si>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</si>
  <si>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</si>
  <si>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</si>
  <si>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</si>
  <si>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</si>
  <si>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</si>
  <si>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</si>
  <si>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</si>
  <si>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</si>
  <si>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</si>
  <si>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</si>
  <si>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</si>
  <si>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</si>
  <si>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</si>
  <si>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</si>
  <si>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</si>
  <si>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</si>
  <si>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</si>
  <si>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</si>
  <si>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</si>
  <si>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</si>
  <si>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</si>
  <si>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</si>
  <si>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</si>
  <si>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</si>
  <si>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</si>
  <si>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</si>
  <si>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</si>
  <si>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</si>
  <si>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</si>
  <si>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</si>
  <si>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</si>
  <si>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</si>
  <si>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</si>
  <si>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</si>
  <si>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</si>
  <si>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</si>
  <si>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</si>
  <si>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</si>
  <si>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</si>
  <si>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</si>
  <si>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</si>
  <si>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</si>
  <si>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</si>
  <si>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</si>
  <si>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</si>
  <si>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</si>
  <si>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</si>
  <si>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</si>
  <si>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</si>
  <si>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</si>
  <si>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</si>
  <si>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</si>
  <si>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</si>
  <si>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</si>
  <si>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</si>
  <si>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</si>
  <si>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</si>
  <si>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</si>
  <si>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</si>
  <si>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</si>
  <si>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</si>
  <si>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</si>
  <si>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</si>
  <si>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</si>
  <si>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</si>
  <si>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</si>
  <si>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</si>
  <si>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</si>
  <si>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</si>
  <si>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</si>
  <si>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</si>
  <si>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</si>
  <si>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</si>
  <si>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</si>
  <si>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</si>
  <si>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</si>
  <si>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</si>
  <si>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</si>
  <si>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</si>
  <si>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</si>
  <si>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</si>
  <si>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</si>
  <si>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</si>
  <si>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</si>
  <si>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</si>
  <si>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</si>
  <si>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</si>
  <si>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</si>
  <si>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</si>
  <si>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</si>
  <si>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</si>
  <si>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</si>
  <si>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</si>
  <si>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</si>
  <si>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</si>
  <si>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</si>
  <si>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</si>
  <si>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</si>
  <si>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</si>
  <si>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</si>
  <si>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</si>
  <si>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</si>
  <si>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</si>
  <si>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</si>
  <si>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</si>
  <si>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</si>
  <si>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</si>
  <si>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</si>
  <si>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</si>
  <si>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</si>
  <si>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</si>
  <si>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</si>
  <si>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</si>
  <si>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</si>
  <si>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</si>
  <si>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</si>
  <si>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</si>
  <si>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</si>
  <si>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</si>
  <si>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</si>
  <si>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</si>
  <si>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</si>
  <si>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</si>
  <si>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</si>
  <si>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</si>
  <si>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</si>
  <si>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</si>
  <si>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</si>
  <si>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</si>
  <si>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</si>
  <si>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</si>
  <si>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</si>
  <si>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</si>
  <si>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</si>
  <si>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</si>
  <si>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</si>
  <si>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</si>
  <si>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</si>
  <si>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</si>
  <si>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</si>
  <si>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</si>
  <si>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</si>
  <si>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</si>
  <si>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</si>
  <si>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</si>
  <si>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</si>
  <si>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</si>
  <si>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</si>
  <si>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</si>
  <si>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</si>
  <si>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</si>
  <si>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</si>
  <si>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</si>
  <si>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</si>
  <si>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</si>
  <si>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</si>
  <si>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</si>
  <si>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</si>
  <si>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</si>
  <si>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</si>
  <si>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</si>
  <si>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</si>
  <si>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</si>
  <si>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</si>
  <si>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</si>
  <si>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</si>
  <si>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</si>
  <si>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</si>
  <si>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</si>
  <si>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</si>
  <si>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</si>
  <si>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</si>
  <si>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</si>
  <si>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</si>
  <si>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</si>
  <si>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</si>
  <si>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</si>
  <si>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</si>
  <si>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</si>
  <si>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</si>
  <si>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</si>
  <si>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</si>
  <si>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</si>
  <si>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</si>
  <si>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</si>
  <si>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</si>
  <si>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</si>
  <si>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</si>
  <si>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</si>
  <si>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</si>
  <si>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</si>
  <si>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</si>
  <si>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</si>
  <si>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</si>
  <si>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</si>
  <si>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</si>
  <si>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</si>
  <si>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</si>
  <si>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</si>
  <si>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</si>
  <si>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</si>
  <si>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</si>
  <si>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</si>
  <si>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</si>
  <si>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</si>
  <si>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</si>
  <si>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</si>
  <si>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</si>
  <si>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</si>
  <si>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</si>
  <si>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</si>
  <si>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</si>
  <si>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</si>
  <si>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</si>
  <si>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</si>
  <si>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</si>
  <si>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</si>
  <si>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</si>
  <si>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</si>
  <si>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</si>
  <si>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</si>
  <si>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</si>
  <si>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</si>
  <si>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</si>
  <si>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</si>
  <si>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</si>
  <si>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</si>
  <si>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</si>
  <si>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</si>
  <si>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</si>
  <si>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</si>
  <si>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</si>
  <si>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</si>
  <si>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</si>
  <si>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</si>
  <si>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</si>
  <si>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</si>
  <si>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</si>
  <si>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</si>
  <si>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</si>
  <si>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</si>
  <si>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</si>
  <si>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</si>
  <si>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</si>
  <si>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</si>
  <si>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</si>
  <si>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WARREN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</si>
</sst>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549</v>
      </c>
      <c r="C2" s="21">
        <v>549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149398+250</f>
        <v>149648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75184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>
        <v>27597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16656</v>
      </c>
      <c r="G13" s="18">
        <v>4362</v>
      </c>
      <c r="H13" s="18">
        <v>9767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450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1914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168668</v>
      </c>
      <c r="G19" s="41">
        <f>SUM(G9:G18)</f>
        <v>4362</v>
      </c>
      <c r="H19" s="41">
        <f>SUM(H9:H18)</f>
        <v>37364</v>
      </c>
      <c r="I19" s="41">
        <f>SUM(I9:I18)</f>
        <v>0</v>
      </c>
      <c r="J19" s="41">
        <f>SUM(J9:J18)</f>
        <v>75184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23279</v>
      </c>
      <c r="G22" s="18">
        <v>4318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45326+2457</f>
        <v>47783</v>
      </c>
      <c r="G24" s="18">
        <v>44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13+481</f>
        <v>494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37364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71556</v>
      </c>
      <c r="G32" s="41">
        <f>SUM(G22:G31)</f>
        <v>4362</v>
      </c>
      <c r="H32" s="41">
        <f>SUM(H22:H31)</f>
        <v>37364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1914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75184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84625+(1992175-2040652)+29050</f>
        <v>65198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97112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75184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168668</v>
      </c>
      <c r="G52" s="41">
        <f>G51+G32</f>
        <v>4362</v>
      </c>
      <c r="H52" s="41">
        <f>H51+H32</f>
        <v>37364</v>
      </c>
      <c r="I52" s="41">
        <f>I51+I32</f>
        <v>0</v>
      </c>
      <c r="J52" s="41">
        <f>J51+J32</f>
        <v>75184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1019655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1019655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360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360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241</v>
      </c>
      <c r="G96" s="18"/>
      <c r="H96" s="18"/>
      <c r="I96" s="18"/>
      <c r="J96" s="18">
        <v>875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7680-1</f>
        <v>7679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7354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10670-2</f>
        <v>10668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10909</v>
      </c>
      <c r="G111" s="41">
        <f>SUM(G96:G110)</f>
        <v>7679</v>
      </c>
      <c r="H111" s="41">
        <f>SUM(H96:H110)</f>
        <v>7354</v>
      </c>
      <c r="I111" s="41">
        <f>SUM(I96:I110)</f>
        <v>0</v>
      </c>
      <c r="J111" s="41">
        <f>SUM(J96:J110)</f>
        <v>875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1030924</v>
      </c>
      <c r="G112" s="41">
        <f>G60+G111</f>
        <v>7679</v>
      </c>
      <c r="H112" s="41">
        <f>H60+H79+H94+H111</f>
        <v>7354</v>
      </c>
      <c r="I112" s="41">
        <f>I60+I111</f>
        <v>0</v>
      </c>
      <c r="J112" s="41">
        <f>J60+J111</f>
        <v>875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749025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142350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2115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893490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13945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1412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5+508</f>
        <v>513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15357</v>
      </c>
      <c r="G136" s="41">
        <f>SUM(G123:G135)</f>
        <v>513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>
        <v>735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908847</v>
      </c>
      <c r="G140" s="41">
        <f>G121+SUM(G136:G137)</f>
        <v>513</v>
      </c>
      <c r="H140" s="41">
        <f>H121+SUM(H136:H139)</f>
        <v>735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43765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3154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3386+5379+14085+1882</f>
        <v>24732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43954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43954</v>
      </c>
      <c r="G162" s="41">
        <f>SUM(G150:G161)</f>
        <v>24732</v>
      </c>
      <c r="H162" s="41">
        <f>SUM(H150:H161)</f>
        <v>46919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8450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52404</v>
      </c>
      <c r="G169" s="41">
        <f>G147+G162+SUM(G163:G168)</f>
        <v>24732</v>
      </c>
      <c r="H169" s="41">
        <f>H147+H162+SUM(H163:H168)</f>
        <v>46919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21936</v>
      </c>
      <c r="H179" s="18"/>
      <c r="I179" s="18"/>
      <c r="J179" s="18">
        <v>15000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21936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21936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1992175</v>
      </c>
      <c r="G193" s="47">
        <f>G112+G140+G169+G192</f>
        <v>54860</v>
      </c>
      <c r="H193" s="47">
        <f>H112+H140+H169+H192</f>
        <v>55008</v>
      </c>
      <c r="I193" s="47">
        <f>I112+I140+I169+I192</f>
        <v>0</v>
      </c>
      <c r="J193" s="47">
        <f>J112+J140+J192</f>
        <v>15875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358290</v>
      </c>
      <c r="G197" s="18">
        <v>173721</v>
      </c>
      <c r="H197" s="18">
        <f>48288+311</f>
        <v>48599</v>
      </c>
      <c r="I197" s="18">
        <v>18047</v>
      </c>
      <c r="J197" s="18">
        <v>120</v>
      </c>
      <c r="K197" s="18"/>
      <c r="L197" s="19">
        <f>SUM(F197:K197)</f>
        <v>598777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123673</v>
      </c>
      <c r="G198" s="18">
        <v>61910</v>
      </c>
      <c r="H198" s="18">
        <f>2706</f>
        <v>2706</v>
      </c>
      <c r="I198" s="18">
        <v>1059</v>
      </c>
      <c r="J198" s="18">
        <v>2925</v>
      </c>
      <c r="K198" s="18">
        <v>125</v>
      </c>
      <c r="L198" s="19">
        <f>SUM(F198:K198)</f>
        <v>192398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7514</v>
      </c>
      <c r="G200" s="18">
        <v>3601</v>
      </c>
      <c r="H200" s="18"/>
      <c r="I200" s="18">
        <v>536</v>
      </c>
      <c r="J200" s="18"/>
      <c r="K200" s="18"/>
      <c r="L200" s="19">
        <f>SUM(F200:K200)</f>
        <v>11651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44247</v>
      </c>
      <c r="G202" s="18">
        <v>12101</v>
      </c>
      <c r="H202" s="18">
        <f>87618+1686</f>
        <v>89304</v>
      </c>
      <c r="I202" s="18">
        <v>2768</v>
      </c>
      <c r="J202" s="18"/>
      <c r="K202" s="18">
        <v>2714</v>
      </c>
      <c r="L202" s="19">
        <f t="shared" ref="L202:L208" si="0">SUM(F202:K202)</f>
        <v>151134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9172</v>
      </c>
      <c r="G203" s="18">
        <v>4913</v>
      </c>
      <c r="H203" s="18">
        <f>2221+876</f>
        <v>3097</v>
      </c>
      <c r="I203" s="18">
        <v>9370</v>
      </c>
      <c r="J203" s="18">
        <v>10713</v>
      </c>
      <c r="K203" s="18"/>
      <c r="L203" s="19">
        <f t="shared" si="0"/>
        <v>37265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1343</v>
      </c>
      <c r="G204" s="18">
        <v>103</v>
      </c>
      <c r="H204" s="18">
        <f>88344+2815+4</f>
        <v>91163</v>
      </c>
      <c r="I204" s="18">
        <v>64</v>
      </c>
      <c r="J204" s="18"/>
      <c r="K204" s="18">
        <v>1702</v>
      </c>
      <c r="L204" s="19">
        <f t="shared" si="0"/>
        <v>94375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82662</v>
      </c>
      <c r="G205" s="18">
        <v>31375</v>
      </c>
      <c r="H205" s="18">
        <f>2614</f>
        <v>2614</v>
      </c>
      <c r="I205" s="18">
        <v>2034</v>
      </c>
      <c r="J205" s="18"/>
      <c r="K205" s="18">
        <f>99-2</f>
        <v>97</v>
      </c>
      <c r="L205" s="19">
        <f t="shared" si="0"/>
        <v>118782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34806</v>
      </c>
      <c r="G207" s="18">
        <v>8856</v>
      </c>
      <c r="H207" s="18">
        <f>22895+1283</f>
        <v>24178</v>
      </c>
      <c r="I207" s="18">
        <v>41175</v>
      </c>
      <c r="J207" s="18">
        <v>1942</v>
      </c>
      <c r="K207" s="18"/>
      <c r="L207" s="19">
        <f t="shared" si="0"/>
        <v>110957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91054</v>
      </c>
      <c r="I208" s="18"/>
      <c r="J208" s="18"/>
      <c r="K208" s="18"/>
      <c r="L208" s="19">
        <f t="shared" si="0"/>
        <v>91054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f>7748</f>
        <v>7748</v>
      </c>
      <c r="I209" s="18">
        <v>835</v>
      </c>
      <c r="J209" s="18"/>
      <c r="K209" s="18"/>
      <c r="L209" s="19">
        <f>SUM(F209:K209)</f>
        <v>8583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661707</v>
      </c>
      <c r="G211" s="41">
        <f t="shared" si="1"/>
        <v>296580</v>
      </c>
      <c r="H211" s="41">
        <f t="shared" si="1"/>
        <v>360463</v>
      </c>
      <c r="I211" s="41">
        <f t="shared" si="1"/>
        <v>75888</v>
      </c>
      <c r="J211" s="41">
        <f t="shared" si="1"/>
        <v>15700</v>
      </c>
      <c r="K211" s="41">
        <f t="shared" si="1"/>
        <v>4638</v>
      </c>
      <c r="L211" s="41">
        <f t="shared" si="1"/>
        <v>1414976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391859</v>
      </c>
      <c r="I233" s="18"/>
      <c r="J233" s="18"/>
      <c r="K233" s="18"/>
      <c r="L233" s="19">
        <f>SUM(F233:K233)</f>
        <v>391859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50932+33959</f>
        <v>84891</v>
      </c>
      <c r="I234" s="18">
        <v>114</v>
      </c>
      <c r="J234" s="18"/>
      <c r="K234" s="18"/>
      <c r="L234" s="19">
        <f>SUM(F234:K234)</f>
        <v>85005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39625</v>
      </c>
      <c r="I235" s="18"/>
      <c r="J235" s="18"/>
      <c r="K235" s="18"/>
      <c r="L235" s="19">
        <f>SUM(F235:K235)</f>
        <v>39625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>
        <v>3564</v>
      </c>
      <c r="I236" s="18"/>
      <c r="J236" s="18"/>
      <c r="K236" s="18"/>
      <c r="L236" s="19">
        <f>SUM(F236:K236)</f>
        <v>3564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472</v>
      </c>
      <c r="G240" s="18">
        <v>36</v>
      </c>
      <c r="H240" s="18">
        <f>31040+997</f>
        <v>32037</v>
      </c>
      <c r="I240" s="18">
        <v>22</v>
      </c>
      <c r="J240" s="18"/>
      <c r="K240" s="18">
        <f>598-1</f>
        <v>597</v>
      </c>
      <c r="L240" s="19">
        <f t="shared" si="4"/>
        <v>33164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35523</v>
      </c>
      <c r="I244" s="18"/>
      <c r="J244" s="18"/>
      <c r="K244" s="18"/>
      <c r="L244" s="19">
        <f t="shared" si="4"/>
        <v>35523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472</v>
      </c>
      <c r="G247" s="41">
        <f t="shared" si="5"/>
        <v>36</v>
      </c>
      <c r="H247" s="41">
        <f t="shared" si="5"/>
        <v>587499</v>
      </c>
      <c r="I247" s="41">
        <f t="shared" si="5"/>
        <v>136</v>
      </c>
      <c r="J247" s="41">
        <f t="shared" si="5"/>
        <v>0</v>
      </c>
      <c r="K247" s="41">
        <f t="shared" si="5"/>
        <v>597</v>
      </c>
      <c r="L247" s="41">
        <f t="shared" si="5"/>
        <v>588740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662179</v>
      </c>
      <c r="G257" s="41">
        <f t="shared" si="8"/>
        <v>296616</v>
      </c>
      <c r="H257" s="41">
        <f t="shared" si="8"/>
        <v>947962</v>
      </c>
      <c r="I257" s="41">
        <f t="shared" si="8"/>
        <v>76024</v>
      </c>
      <c r="J257" s="41">
        <f t="shared" si="8"/>
        <v>15700</v>
      </c>
      <c r="K257" s="41">
        <f t="shared" si="8"/>
        <v>5235</v>
      </c>
      <c r="L257" s="41">
        <f t="shared" si="8"/>
        <v>2003716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21936</v>
      </c>
      <c r="L263" s="19">
        <f>SUM(F263:K263)</f>
        <v>21936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</v>
      </c>
      <c r="L266" s="19">
        <f t="shared" si="9"/>
        <v>15000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36936</v>
      </c>
      <c r="L270" s="41">
        <f t="shared" si="9"/>
        <v>36936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662179</v>
      </c>
      <c r="G271" s="42">
        <f t="shared" si="11"/>
        <v>296616</v>
      </c>
      <c r="H271" s="42">
        <f t="shared" si="11"/>
        <v>947962</v>
      </c>
      <c r="I271" s="42">
        <f t="shared" si="11"/>
        <v>76024</v>
      </c>
      <c r="J271" s="42">
        <f t="shared" si="11"/>
        <v>15700</v>
      </c>
      <c r="K271" s="42">
        <f t="shared" si="11"/>
        <v>42171</v>
      </c>
      <c r="L271" s="42">
        <f t="shared" si="11"/>
        <v>2040652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25898</v>
      </c>
      <c r="G276" s="18">
        <v>9930</v>
      </c>
      <c r="H276" s="18">
        <v>735</v>
      </c>
      <c r="I276" s="18">
        <v>1009</v>
      </c>
      <c r="J276" s="18"/>
      <c r="K276" s="18">
        <v>250</v>
      </c>
      <c r="L276" s="19">
        <f>SUM(F276:K276)</f>
        <v>37822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3410</v>
      </c>
      <c r="G279" s="18">
        <v>853</v>
      </c>
      <c r="H279" s="18"/>
      <c r="I279" s="18">
        <v>4001</v>
      </c>
      <c r="J279" s="18"/>
      <c r="K279" s="18"/>
      <c r="L279" s="19">
        <f>SUM(F279:K279)</f>
        <v>8264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2750</v>
      </c>
      <c r="G282" s="18">
        <v>688</v>
      </c>
      <c r="H282" s="18">
        <v>1832</v>
      </c>
      <c r="I282" s="18">
        <v>237</v>
      </c>
      <c r="J282" s="18"/>
      <c r="K282" s="18"/>
      <c r="L282" s="19">
        <f t="shared" si="12"/>
        <v>5507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970</v>
      </c>
      <c r="L283" s="19">
        <f t="shared" si="12"/>
        <v>970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>
        <v>2445</v>
      </c>
      <c r="L284" s="19">
        <f t="shared" si="12"/>
        <v>2445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32058</v>
      </c>
      <c r="G290" s="42">
        <f t="shared" si="13"/>
        <v>11471</v>
      </c>
      <c r="H290" s="42">
        <f t="shared" si="13"/>
        <v>2567</v>
      </c>
      <c r="I290" s="42">
        <f t="shared" si="13"/>
        <v>5247</v>
      </c>
      <c r="J290" s="42">
        <f t="shared" si="13"/>
        <v>0</v>
      </c>
      <c r="K290" s="42">
        <f t="shared" si="13"/>
        <v>3665</v>
      </c>
      <c r="L290" s="41">
        <f t="shared" si="13"/>
        <v>55008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32058</v>
      </c>
      <c r="G338" s="41">
        <f t="shared" si="20"/>
        <v>11471</v>
      </c>
      <c r="H338" s="41">
        <f t="shared" si="20"/>
        <v>2567</v>
      </c>
      <c r="I338" s="41">
        <f t="shared" si="20"/>
        <v>5247</v>
      </c>
      <c r="J338" s="41">
        <f t="shared" si="20"/>
        <v>0</v>
      </c>
      <c r="K338" s="41">
        <f t="shared" si="20"/>
        <v>3665</v>
      </c>
      <c r="L338" s="41">
        <f t="shared" si="20"/>
        <v>55008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32058</v>
      </c>
      <c r="G352" s="41">
        <f>G338</f>
        <v>11471</v>
      </c>
      <c r="H352" s="41">
        <f>H338</f>
        <v>2567</v>
      </c>
      <c r="I352" s="41">
        <f>I338</f>
        <v>5247</v>
      </c>
      <c r="J352" s="41">
        <f>J338</f>
        <v>0</v>
      </c>
      <c r="K352" s="47">
        <f>K338+K351</f>
        <v>3665</v>
      </c>
      <c r="L352" s="41">
        <f>L338+L351</f>
        <v>55008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52675+2186-1</f>
        <v>54860</v>
      </c>
      <c r="I358" s="18"/>
      <c r="J358" s="18"/>
      <c r="K358" s="18"/>
      <c r="L358" s="13">
        <f>SUM(F358:K358)</f>
        <v>54860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54860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54860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63</v>
      </c>
      <c r="I389" s="18"/>
      <c r="J389" s="24" t="s">
        <v>286</v>
      </c>
      <c r="K389" s="24" t="s">
        <v>286</v>
      </c>
      <c r="L389" s="56">
        <f t="shared" si="25"/>
        <v>63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63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64</v>
      </c>
      <c r="I396" s="18"/>
      <c r="J396" s="24" t="s">
        <v>286</v>
      </c>
      <c r="K396" s="24" t="s">
        <v>286</v>
      </c>
      <c r="L396" s="56">
        <f t="shared" si="26"/>
        <v>64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</v>
      </c>
      <c r="H397" s="18">
        <v>583</v>
      </c>
      <c r="I397" s="18"/>
      <c r="J397" s="24" t="s">
        <v>286</v>
      </c>
      <c r="K397" s="24" t="s">
        <v>286</v>
      </c>
      <c r="L397" s="56">
        <f t="shared" si="26"/>
        <v>10583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5000</v>
      </c>
      <c r="H399" s="18">
        <v>165</v>
      </c>
      <c r="I399" s="18"/>
      <c r="J399" s="24" t="s">
        <v>286</v>
      </c>
      <c r="K399" s="24" t="s">
        <v>286</v>
      </c>
      <c r="L399" s="56">
        <f t="shared" si="26"/>
        <v>5165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812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15812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875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15875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75184</v>
      </c>
      <c r="H440" s="18"/>
      <c r="I440" s="56">
        <f t="shared" si="33"/>
        <v>75184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75184</v>
      </c>
      <c r="H446" s="13">
        <f>SUM(H439:H445)</f>
        <v>0</v>
      </c>
      <c r="I446" s="13">
        <f>SUM(I439:I445)</f>
        <v>75184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75184</v>
      </c>
      <c r="H459" s="18"/>
      <c r="I459" s="56">
        <f t="shared" si="34"/>
        <v>75184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75184</v>
      </c>
      <c r="H460" s="83">
        <f>SUM(H454:H459)</f>
        <v>0</v>
      </c>
      <c r="I460" s="83">
        <f>SUM(I454:I459)</f>
        <v>75184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75184</v>
      </c>
      <c r="H461" s="42">
        <f>H452+H460</f>
        <v>0</v>
      </c>
      <c r="I461" s="42">
        <f>I452+I460</f>
        <v>75184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145589</v>
      </c>
      <c r="G465" s="18">
        <v>0</v>
      </c>
      <c r="H465" s="18">
        <v>0</v>
      </c>
      <c r="I465" s="18"/>
      <c r="J465" s="18">
        <v>59309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1992175</v>
      </c>
      <c r="G468" s="18">
        <v>54860</v>
      </c>
      <c r="H468" s="18">
        <v>55008</v>
      </c>
      <c r="I468" s="18"/>
      <c r="J468" s="18">
        <v>15875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1992175</v>
      </c>
      <c r="G470" s="53">
        <f>SUM(G468:G469)</f>
        <v>54860</v>
      </c>
      <c r="H470" s="53">
        <f>SUM(H468:H469)</f>
        <v>55008</v>
      </c>
      <c r="I470" s="53">
        <f>SUM(I468:I469)</f>
        <v>0</v>
      </c>
      <c r="J470" s="53">
        <f>SUM(J468:J469)</f>
        <v>15875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2040652</v>
      </c>
      <c r="G472" s="18">
        <v>54860</v>
      </c>
      <c r="H472" s="18">
        <v>55008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2040652</v>
      </c>
      <c r="G474" s="53">
        <f>SUM(G472:G473)</f>
        <v>54860</v>
      </c>
      <c r="H474" s="53">
        <f>SUM(H472:H473)</f>
        <v>55008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97112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75184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123673</v>
      </c>
      <c r="G521" s="18">
        <v>61910</v>
      </c>
      <c r="H521" s="18">
        <v>2706</v>
      </c>
      <c r="I521" s="18">
        <v>1059</v>
      </c>
      <c r="J521" s="18">
        <v>2925</v>
      </c>
      <c r="K521" s="18">
        <v>125</v>
      </c>
      <c r="L521" s="88">
        <f>SUM(F521:K521)</f>
        <v>192398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50932+33959</f>
        <v>84891</v>
      </c>
      <c r="I523" s="18">
        <v>114</v>
      </c>
      <c r="J523" s="18"/>
      <c r="K523" s="18"/>
      <c r="L523" s="88">
        <f>SUM(F523:K523)</f>
        <v>85005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123673</v>
      </c>
      <c r="G524" s="108">
        <f t="shared" ref="G524:L524" si="36">SUM(G521:G523)</f>
        <v>61910</v>
      </c>
      <c r="H524" s="108">
        <f t="shared" si="36"/>
        <v>87597</v>
      </c>
      <c r="I524" s="108">
        <f t="shared" si="36"/>
        <v>1173</v>
      </c>
      <c r="J524" s="108">
        <f t="shared" si="36"/>
        <v>2925</v>
      </c>
      <c r="K524" s="108">
        <f t="shared" si="36"/>
        <v>125</v>
      </c>
      <c r="L524" s="89">
        <f t="shared" si="36"/>
        <v>277403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72397</v>
      </c>
      <c r="I526" s="18">
        <v>20</v>
      </c>
      <c r="J526" s="18"/>
      <c r="K526" s="18"/>
      <c r="L526" s="88">
        <f>SUM(F526:K526)</f>
        <v>72417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72397</v>
      </c>
      <c r="I529" s="89">
        <f t="shared" si="37"/>
        <v>20</v>
      </c>
      <c r="J529" s="89">
        <f t="shared" si="37"/>
        <v>0</v>
      </c>
      <c r="K529" s="89">
        <f t="shared" si="37"/>
        <v>0</v>
      </c>
      <c r="L529" s="89">
        <f t="shared" si="37"/>
        <v>72417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16350</v>
      </c>
      <c r="I531" s="18"/>
      <c r="J531" s="18"/>
      <c r="K531" s="18"/>
      <c r="L531" s="88">
        <f>SUM(F531:K531)</f>
        <v>16350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5745</v>
      </c>
      <c r="I533" s="18"/>
      <c r="J533" s="18"/>
      <c r="K533" s="18"/>
      <c r="L533" s="88">
        <f>SUM(F533:K533)</f>
        <v>5745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22095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22095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646</v>
      </c>
      <c r="I541" s="18"/>
      <c r="J541" s="18"/>
      <c r="K541" s="18"/>
      <c r="L541" s="88">
        <f>SUM(F541:K541)</f>
        <v>646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4691</v>
      </c>
      <c r="I543" s="18"/>
      <c r="J543" s="18"/>
      <c r="K543" s="18"/>
      <c r="L543" s="88">
        <f>SUM(F543:K543)</f>
        <v>4691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5337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5337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123673</v>
      </c>
      <c r="G545" s="89">
        <f t="shared" ref="G545:L545" si="41">G524+G529+G534+G539+G544</f>
        <v>61910</v>
      </c>
      <c r="H545" s="89">
        <f t="shared" si="41"/>
        <v>187426</v>
      </c>
      <c r="I545" s="89">
        <f t="shared" si="41"/>
        <v>1193</v>
      </c>
      <c r="J545" s="89">
        <f t="shared" si="41"/>
        <v>2925</v>
      </c>
      <c r="K545" s="89">
        <f t="shared" si="41"/>
        <v>125</v>
      </c>
      <c r="L545" s="89">
        <f t="shared" si="41"/>
        <v>377252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192398</v>
      </c>
      <c r="G549" s="87">
        <f>L526</f>
        <v>72417</v>
      </c>
      <c r="H549" s="87">
        <f>L531</f>
        <v>16350</v>
      </c>
      <c r="I549" s="87">
        <f>L536</f>
        <v>0</v>
      </c>
      <c r="J549" s="87">
        <f>L541</f>
        <v>646</v>
      </c>
      <c r="K549" s="87">
        <f>SUM(F549:J549)</f>
        <v>281811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85005</v>
      </c>
      <c r="G551" s="87">
        <f>L528</f>
        <v>0</v>
      </c>
      <c r="H551" s="87">
        <f>L533</f>
        <v>5745</v>
      </c>
      <c r="I551" s="87">
        <f>L538</f>
        <v>0</v>
      </c>
      <c r="J551" s="87">
        <f>L543</f>
        <v>4691</v>
      </c>
      <c r="K551" s="87">
        <f>SUM(F551:J551)</f>
        <v>95441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277403</v>
      </c>
      <c r="G552" s="89">
        <f t="shared" si="42"/>
        <v>72417</v>
      </c>
      <c r="H552" s="89">
        <f t="shared" si="42"/>
        <v>22095</v>
      </c>
      <c r="I552" s="89">
        <f t="shared" si="42"/>
        <v>0</v>
      </c>
      <c r="J552" s="89">
        <f t="shared" si="42"/>
        <v>5337</v>
      </c>
      <c r="K552" s="89">
        <f t="shared" si="42"/>
        <v>377252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274312</v>
      </c>
      <c r="I575" s="87">
        <f>SUM(F575:H575)</f>
        <v>274312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117547</v>
      </c>
      <c r="I576" s="87">
        <f t="shared" ref="I576:I587" si="47">SUM(F576:H576)</f>
        <v>117547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2380</v>
      </c>
      <c r="I580" s="87">
        <f t="shared" si="47"/>
        <v>2380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31579</v>
      </c>
      <c r="I582" s="87">
        <f t="shared" si="47"/>
        <v>31579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39625</v>
      </c>
      <c r="I585" s="87">
        <f t="shared" si="47"/>
        <v>39625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87120</v>
      </c>
      <c r="I591" s="18"/>
      <c r="J591" s="18">
        <f>29203+1</f>
        <v>29204</v>
      </c>
      <c r="K591" s="104">
        <f t="shared" ref="K591:K597" si="48">SUM(H591:J591)</f>
        <v>116324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646</v>
      </c>
      <c r="I592" s="18"/>
      <c r="J592" s="18">
        <v>4691</v>
      </c>
      <c r="K592" s="104">
        <f t="shared" si="48"/>
        <v>5337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1628</v>
      </c>
      <c r="K593" s="104">
        <f t="shared" si="48"/>
        <v>1628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3288</v>
      </c>
      <c r="I595" s="18"/>
      <c r="J595" s="18"/>
      <c r="K595" s="104">
        <f t="shared" si="48"/>
        <v>3288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91054</v>
      </c>
      <c r="I598" s="108">
        <f>SUM(I591:I597)</f>
        <v>0</v>
      </c>
      <c r="J598" s="108">
        <f>SUM(J591:J597)</f>
        <v>35523</v>
      </c>
      <c r="K598" s="108">
        <f>SUM(K591:K597)</f>
        <v>126577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15700</v>
      </c>
      <c r="I604" s="18"/>
      <c r="J604" s="18"/>
      <c r="K604" s="104">
        <f>SUM(H604:J604)</f>
        <v>15700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15700</v>
      </c>
      <c r="I605" s="108">
        <f>SUM(I602:I604)</f>
        <v>0</v>
      </c>
      <c r="J605" s="108">
        <f>SUM(J602:J604)</f>
        <v>0</v>
      </c>
      <c r="K605" s="108">
        <f>SUM(K602:K604)</f>
        <v>15700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3645</v>
      </c>
      <c r="G611" s="18">
        <v>912</v>
      </c>
      <c r="H611" s="18"/>
      <c r="I611" s="18"/>
      <c r="J611" s="18"/>
      <c r="K611" s="18"/>
      <c r="L611" s="88">
        <f>SUM(F611:K611)</f>
        <v>4557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>
        <v>3564</v>
      </c>
      <c r="I613" s="18"/>
      <c r="J613" s="18"/>
      <c r="K613" s="18"/>
      <c r="L613" s="88">
        <f>SUM(F613:K613)</f>
        <v>3564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3645</v>
      </c>
      <c r="G614" s="108">
        <f t="shared" si="49"/>
        <v>912</v>
      </c>
      <c r="H614" s="108">
        <f t="shared" si="49"/>
        <v>3564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8121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168668</v>
      </c>
      <c r="H617" s="109">
        <f>SUM(F52)</f>
        <v>168668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4362</v>
      </c>
      <c r="H618" s="109">
        <f>SUM(G52)</f>
        <v>4362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37364</v>
      </c>
      <c r="H619" s="109">
        <f>SUM(H52)</f>
        <v>37364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75184</v>
      </c>
      <c r="H621" s="109">
        <f>SUM(J52)</f>
        <v>75184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97112</v>
      </c>
      <c r="H622" s="109">
        <f>F476</f>
        <v>97112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75184</v>
      </c>
      <c r="H626" s="109">
        <f>J476</f>
        <v>75184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1992175</v>
      </c>
      <c r="H627" s="104">
        <f>SUM(F468)</f>
        <v>1992175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54860</v>
      </c>
      <c r="H628" s="104">
        <f>SUM(G468)</f>
        <v>54860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55008</v>
      </c>
      <c r="H629" s="104">
        <f>SUM(H468)</f>
        <v>55008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15875</v>
      </c>
      <c r="H631" s="104">
        <f>SUM(J468)</f>
        <v>15875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2040652</v>
      </c>
      <c r="H632" s="104">
        <f>SUM(F472)</f>
        <v>2040652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55008</v>
      </c>
      <c r="H633" s="104">
        <f>SUM(H472)</f>
        <v>55008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54860</v>
      </c>
      <c r="H635" s="104">
        <f>SUM(G472)</f>
        <v>54860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15875</v>
      </c>
      <c r="H637" s="164">
        <f>SUM(J468)</f>
        <v>15875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75184</v>
      </c>
      <c r="H640" s="104">
        <f>SUM(G461)</f>
        <v>75184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75184</v>
      </c>
      <c r="H642" s="104">
        <f>SUM(I461)</f>
        <v>75184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875</v>
      </c>
      <c r="H644" s="104">
        <f>H408</f>
        <v>875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</v>
      </c>
      <c r="H645" s="104">
        <f>G408</f>
        <v>15000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15875</v>
      </c>
      <c r="H646" s="104">
        <f>L408</f>
        <v>15875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126577</v>
      </c>
      <c r="H647" s="104">
        <f>L208+L226+L244</f>
        <v>126577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15700</v>
      </c>
      <c r="H648" s="104">
        <f>(J257+J338)-(J255+J336)</f>
        <v>15700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91054</v>
      </c>
      <c r="H649" s="104">
        <f>H598</f>
        <v>91054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35523</v>
      </c>
      <c r="H651" s="104">
        <f>J598</f>
        <v>35523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21936</v>
      </c>
      <c r="H652" s="104">
        <f>K263+K345</f>
        <v>21936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</v>
      </c>
      <c r="H655" s="104">
        <f>K266+K347</f>
        <v>15000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1524844</v>
      </c>
      <c r="G660" s="19">
        <f>(L229+L309+L359)</f>
        <v>0</v>
      </c>
      <c r="H660" s="19">
        <f>(L247+L328+L360)</f>
        <v>588740</v>
      </c>
      <c r="I660" s="19">
        <f>SUM(F660:H660)</f>
        <v>2113584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7679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7679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91054</v>
      </c>
      <c r="G662" s="19">
        <f>(L226+L306)-(J226+J306)</f>
        <v>0</v>
      </c>
      <c r="H662" s="19">
        <f>(L244+L325)-(J244+J325)</f>
        <v>35523</v>
      </c>
      <c r="I662" s="19">
        <f>SUM(F662:H662)</f>
        <v>126577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20257</v>
      </c>
      <c r="G663" s="199">
        <f>SUM(G575:G587)+SUM(I602:I604)+L612</f>
        <v>0</v>
      </c>
      <c r="H663" s="199">
        <f>SUM(H575:H587)+SUM(J602:J604)+L613</f>
        <v>469007</v>
      </c>
      <c r="I663" s="19">
        <f>SUM(F663:H663)</f>
        <v>489264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1405854</v>
      </c>
      <c r="G664" s="19">
        <f>G660-SUM(G661:G663)</f>
        <v>0</v>
      </c>
      <c r="H664" s="19">
        <f>H660-SUM(H661:H663)</f>
        <v>84210</v>
      </c>
      <c r="I664" s="19">
        <f>I660-SUM(I661:I663)</f>
        <v>1490064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75.08</v>
      </c>
      <c r="G665" s="248"/>
      <c r="H665" s="248"/>
      <c r="I665" s="19">
        <f>SUM(F665:H665)</f>
        <v>75.08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18724.75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19846.349999999999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-84210</v>
      </c>
      <c r="I669" s="19">
        <f>SUM(F669:H669)</f>
        <v>-84210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18724.75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18724.75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A13" sqref="A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WARREN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384188</v>
      </c>
      <c r="C9" s="229">
        <f>'DOE25'!G197+'DOE25'!G215+'DOE25'!G233+'DOE25'!G276+'DOE25'!G295+'DOE25'!G314</f>
        <v>183651</v>
      </c>
    </row>
    <row r="10" spans="1:3" x14ac:dyDescent="0.2">
      <c r="A10" t="s">
        <v>773</v>
      </c>
      <c r="B10" s="240">
        <v>377074</v>
      </c>
      <c r="C10" s="240">
        <v>182972</v>
      </c>
    </row>
    <row r="11" spans="1:3" x14ac:dyDescent="0.2">
      <c r="A11" t="s">
        <v>774</v>
      </c>
      <c r="B11" s="240">
        <f>19+1163</f>
        <v>1182</v>
      </c>
      <c r="C11" s="240">
        <f>90+135</f>
        <v>225</v>
      </c>
    </row>
    <row r="12" spans="1:3" x14ac:dyDescent="0.2">
      <c r="A12" t="s">
        <v>775</v>
      </c>
      <c r="B12" s="240">
        <v>5932</v>
      </c>
      <c r="C12" s="240">
        <v>454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384188</v>
      </c>
      <c r="C13" s="231">
        <f>SUM(C10:C12)</f>
        <v>183651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123673</v>
      </c>
      <c r="C18" s="229">
        <f>'DOE25'!G198+'DOE25'!G216+'DOE25'!G234+'DOE25'!G277+'DOE25'!G296+'DOE25'!G315</f>
        <v>61910</v>
      </c>
    </row>
    <row r="19" spans="1:3" x14ac:dyDescent="0.2">
      <c r="A19" t="s">
        <v>773</v>
      </c>
      <c r="B19" s="240">
        <v>39108</v>
      </c>
      <c r="C19" s="240">
        <v>21001</v>
      </c>
    </row>
    <row r="20" spans="1:3" x14ac:dyDescent="0.2">
      <c r="A20" t="s">
        <v>774</v>
      </c>
      <c r="B20" s="240">
        <v>72451</v>
      </c>
      <c r="C20" s="240">
        <v>39982</v>
      </c>
    </row>
    <row r="21" spans="1:3" x14ac:dyDescent="0.2">
      <c r="A21" t="s">
        <v>775</v>
      </c>
      <c r="B21" s="240">
        <v>12114</v>
      </c>
      <c r="C21" s="240">
        <v>927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123673</v>
      </c>
      <c r="C22" s="231">
        <f>SUM(C19:C21)</f>
        <v>61910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10924</v>
      </c>
      <c r="C36" s="235">
        <f>'DOE25'!G200+'DOE25'!G218+'DOE25'!G236+'DOE25'!G279+'DOE25'!G298+'DOE25'!G317</f>
        <v>4454</v>
      </c>
    </row>
    <row r="37" spans="1:3" x14ac:dyDescent="0.2">
      <c r="A37" t="s">
        <v>773</v>
      </c>
      <c r="B37" s="240">
        <v>9074</v>
      </c>
      <c r="C37" s="240">
        <v>4101</v>
      </c>
    </row>
    <row r="38" spans="1:3" x14ac:dyDescent="0.2">
      <c r="A38" t="s">
        <v>774</v>
      </c>
      <c r="B38" s="240">
        <v>1850</v>
      </c>
      <c r="C38" s="240">
        <f>211+142</f>
        <v>353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10924</v>
      </c>
      <c r="C40" s="231">
        <f>SUM(C37:C39)</f>
        <v>4454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C20" sqref="C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WARREN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1322879</v>
      </c>
      <c r="D5" s="20">
        <f>SUM('DOE25'!L197:L200)+SUM('DOE25'!L215:L218)+SUM('DOE25'!L233:L236)-F5-G5</f>
        <v>1319709</v>
      </c>
      <c r="E5" s="243"/>
      <c r="F5" s="255">
        <f>SUM('DOE25'!J197:J200)+SUM('DOE25'!J215:J218)+SUM('DOE25'!J233:J236)</f>
        <v>3045</v>
      </c>
      <c r="G5" s="53">
        <f>SUM('DOE25'!K197:K200)+SUM('DOE25'!K215:K218)+SUM('DOE25'!K233:K236)</f>
        <v>125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151134</v>
      </c>
      <c r="D6" s="20">
        <f>'DOE25'!L202+'DOE25'!L220+'DOE25'!L238-F6-G6</f>
        <v>148420</v>
      </c>
      <c r="E6" s="243"/>
      <c r="F6" s="255">
        <f>'DOE25'!J202+'DOE25'!J220+'DOE25'!J238</f>
        <v>0</v>
      </c>
      <c r="G6" s="53">
        <f>'DOE25'!K202+'DOE25'!K220+'DOE25'!K238</f>
        <v>2714</v>
      </c>
      <c r="H6" s="259"/>
    </row>
    <row r="7" spans="1:9" x14ac:dyDescent="0.2">
      <c r="A7" s="32">
        <v>2200</v>
      </c>
      <c r="B7" t="s">
        <v>828</v>
      </c>
      <c r="C7" s="245">
        <f t="shared" si="0"/>
        <v>37265</v>
      </c>
      <c r="D7" s="20">
        <f>'DOE25'!L203+'DOE25'!L221+'DOE25'!L239-F7-G7</f>
        <v>26552</v>
      </c>
      <c r="E7" s="243"/>
      <c r="F7" s="255">
        <f>'DOE25'!J203+'DOE25'!J221+'DOE25'!J239</f>
        <v>10713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99710</v>
      </c>
      <c r="D8" s="243"/>
      <c r="E8" s="20">
        <f>'DOE25'!L204+'DOE25'!L222+'DOE25'!L240-F8-G8-D9-D11</f>
        <v>97411</v>
      </c>
      <c r="F8" s="255">
        <f>'DOE25'!J204+'DOE25'!J222+'DOE25'!J240</f>
        <v>0</v>
      </c>
      <c r="G8" s="53">
        <f>'DOE25'!K204+'DOE25'!K222+'DOE25'!K240</f>
        <v>2299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4797</v>
      </c>
      <c r="D9" s="244">
        <v>4797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7700</v>
      </c>
      <c r="D10" s="243"/>
      <c r="E10" s="244">
        <v>7700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23032</v>
      </c>
      <c r="D11" s="244">
        <v>23032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118782</v>
      </c>
      <c r="D12" s="20">
        <f>'DOE25'!L205+'DOE25'!L223+'DOE25'!L241-F12-G12</f>
        <v>118685</v>
      </c>
      <c r="E12" s="243"/>
      <c r="F12" s="255">
        <f>'DOE25'!J205+'DOE25'!J223+'DOE25'!J241</f>
        <v>0</v>
      </c>
      <c r="G12" s="53">
        <f>'DOE25'!K205+'DOE25'!K223+'DOE25'!K241</f>
        <v>97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110957</v>
      </c>
      <c r="D14" s="20">
        <f>'DOE25'!L207+'DOE25'!L225+'DOE25'!L243-F14-G14</f>
        <v>109015</v>
      </c>
      <c r="E14" s="243"/>
      <c r="F14" s="255">
        <f>'DOE25'!J207+'DOE25'!J225+'DOE25'!J243</f>
        <v>1942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126577</v>
      </c>
      <c r="D15" s="20">
        <f>'DOE25'!L208+'DOE25'!L226+'DOE25'!L244-F15-G15</f>
        <v>126577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8583</v>
      </c>
      <c r="D16" s="243"/>
      <c r="E16" s="20">
        <f>'DOE25'!L209+'DOE25'!L227+'DOE25'!L245-F16-G16</f>
        <v>8583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54860</v>
      </c>
      <c r="D29" s="20">
        <f>'DOE25'!L358+'DOE25'!L359+'DOE25'!L360-'DOE25'!I367-F29-G29</f>
        <v>54860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55008</v>
      </c>
      <c r="D31" s="20">
        <f>'DOE25'!L290+'DOE25'!L309+'DOE25'!L328+'DOE25'!L333+'DOE25'!L334+'DOE25'!L335-F31-G31</f>
        <v>51343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3665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1982990</v>
      </c>
      <c r="E33" s="246">
        <f>SUM(E5:E31)</f>
        <v>113694</v>
      </c>
      <c r="F33" s="246">
        <f>SUM(F5:F31)</f>
        <v>15700</v>
      </c>
      <c r="G33" s="246">
        <f>SUM(G5:G31)</f>
        <v>8900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113694</v>
      </c>
      <c r="E35" s="249"/>
    </row>
    <row r="36" spans="2:8" ht="12" thickTop="1" x14ac:dyDescent="0.2">
      <c r="B36" t="s">
        <v>809</v>
      </c>
      <c r="D36" s="20">
        <f>D33</f>
        <v>1982990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149648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75184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27597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16656</v>
      </c>
      <c r="D12" s="95">
        <f>'DOE25'!G13</f>
        <v>4362</v>
      </c>
      <c r="E12" s="95">
        <f>'DOE25'!H13</f>
        <v>9767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450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1914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168668</v>
      </c>
      <c r="D18" s="41">
        <f>SUM(D8:D17)</f>
        <v>4362</v>
      </c>
      <c r="E18" s="41">
        <f>SUM(E8:E17)</f>
        <v>37364</v>
      </c>
      <c r="F18" s="41">
        <f>SUM(F8:F17)</f>
        <v>0</v>
      </c>
      <c r="G18" s="41">
        <f>SUM(G8:G17)</f>
        <v>75184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23279</v>
      </c>
      <c r="D21" s="95">
        <f>'DOE25'!G22</f>
        <v>4318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47783</v>
      </c>
      <c r="D23" s="95">
        <f>'DOE25'!G24</f>
        <v>44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37364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71556</v>
      </c>
      <c r="D31" s="41">
        <f>SUM(D21:D30)</f>
        <v>4362</v>
      </c>
      <c r="E31" s="41">
        <f>SUM(E21:E30)</f>
        <v>37364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1914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75184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65198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97112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75184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168668</v>
      </c>
      <c r="D51" s="41">
        <f>D50+D31</f>
        <v>4362</v>
      </c>
      <c r="E51" s="41">
        <f>E50+E31</f>
        <v>37364</v>
      </c>
      <c r="F51" s="41">
        <f>F50+F31</f>
        <v>0</v>
      </c>
      <c r="G51" s="41">
        <f>G50+G31</f>
        <v>75184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1019655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360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7679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10668</v>
      </c>
      <c r="D61" s="95">
        <f>SUM('DOE25'!G98:G110)</f>
        <v>0</v>
      </c>
      <c r="E61" s="95">
        <f>SUM('DOE25'!H98:H110)</f>
        <v>7354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11269</v>
      </c>
      <c r="D62" s="130">
        <f>SUM(D57:D61)</f>
        <v>7679</v>
      </c>
      <c r="E62" s="130">
        <f>SUM(E57:E61)</f>
        <v>7354</v>
      </c>
      <c r="F62" s="130">
        <f>SUM(F57:F61)</f>
        <v>0</v>
      </c>
      <c r="G62" s="130">
        <f>SUM(G57:G61)</f>
        <v>875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1030924</v>
      </c>
      <c r="D63" s="22">
        <f>D56+D62</f>
        <v>7679</v>
      </c>
      <c r="E63" s="22">
        <f>E56+E62</f>
        <v>7354</v>
      </c>
      <c r="F63" s="22">
        <f>F56+F62</f>
        <v>0</v>
      </c>
      <c r="G63" s="22">
        <f>G56+G62</f>
        <v>875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749025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142350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2115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893490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15357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513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15357</v>
      </c>
      <c r="D78" s="130">
        <f>SUM(D72:D77)</f>
        <v>513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735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908847</v>
      </c>
      <c r="D81" s="130">
        <f>SUM(D79:D80)+D78+D70</f>
        <v>513</v>
      </c>
      <c r="E81" s="130">
        <f>SUM(E79:E80)+E78+E70</f>
        <v>735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43954</v>
      </c>
      <c r="D88" s="95">
        <f>SUM('DOE25'!G153:G161)</f>
        <v>24732</v>
      </c>
      <c r="E88" s="95">
        <f>SUM('DOE25'!H153:H161)</f>
        <v>46919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8450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52404</v>
      </c>
      <c r="D91" s="131">
        <f>SUM(D85:D90)</f>
        <v>24732</v>
      </c>
      <c r="E91" s="131">
        <f>SUM(E85:E90)</f>
        <v>46919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21936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21936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759</v>
      </c>
      <c r="C104" s="86">
        <f>C63+C81+C91+C103</f>
        <v>1992175</v>
      </c>
      <c r="D104" s="86">
        <f>D63+D81+D91+D103</f>
        <v>54860</v>
      </c>
      <c r="E104" s="86">
        <f>E63+E81+E91+E103</f>
        <v>55008</v>
      </c>
      <c r="F104" s="86">
        <f>F63+F81+F91+F103</f>
        <v>0</v>
      </c>
      <c r="G104" s="86">
        <f>G63+G81+G103</f>
        <v>15875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990636</v>
      </c>
      <c r="D109" s="24" t="s">
        <v>286</v>
      </c>
      <c r="E109" s="95">
        <f>('DOE25'!L276)+('DOE25'!L295)+('DOE25'!L314)</f>
        <v>37822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277403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39625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15215</v>
      </c>
      <c r="D112" s="24" t="s">
        <v>286</v>
      </c>
      <c r="E112" s="95">
        <f>+('DOE25'!L279)+('DOE25'!L298)+('DOE25'!L317)</f>
        <v>8264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1322879</v>
      </c>
      <c r="D115" s="86">
        <f>SUM(D109:D114)</f>
        <v>0</v>
      </c>
      <c r="E115" s="86">
        <f>SUM(E109:E114)</f>
        <v>46086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151134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37265</v>
      </c>
      <c r="D119" s="24" t="s">
        <v>286</v>
      </c>
      <c r="E119" s="95">
        <f>+('DOE25'!L282)+('DOE25'!L301)+('DOE25'!L320)</f>
        <v>5507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127539</v>
      </c>
      <c r="D120" s="24" t="s">
        <v>286</v>
      </c>
      <c r="E120" s="95">
        <f>+('DOE25'!L283)+('DOE25'!L302)+('DOE25'!L321)</f>
        <v>970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118782</v>
      </c>
      <c r="D121" s="24" t="s">
        <v>286</v>
      </c>
      <c r="E121" s="95">
        <f>+('DOE25'!L284)+('DOE25'!L303)+('DOE25'!L322)</f>
        <v>2445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110957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126577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8583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54860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680837</v>
      </c>
      <c r="D128" s="86">
        <f>SUM(D118:D127)</f>
        <v>54860</v>
      </c>
      <c r="E128" s="86">
        <f>SUM(E118:E127)</f>
        <v>8922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21936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63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15812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-875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36936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2040652</v>
      </c>
      <c r="D145" s="86">
        <f>(D115+D128+D144)</f>
        <v>54860</v>
      </c>
      <c r="E145" s="86">
        <f>(E115+E128+E144)</f>
        <v>55008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15" sqref="B1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WARREN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18725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18725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1028458</v>
      </c>
      <c r="D10" s="182">
        <f>ROUND((C10/$C$28)*100,1)</f>
        <v>48.8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277403</v>
      </c>
      <c r="D11" s="182">
        <f>ROUND((C11/$C$28)*100,1)</f>
        <v>13.2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39625</v>
      </c>
      <c r="D12" s="182">
        <f>ROUND((C12/$C$28)*100,1)</f>
        <v>1.9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23479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151134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42772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137092</v>
      </c>
      <c r="D17" s="182">
        <f t="shared" si="0"/>
        <v>6.5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121227</v>
      </c>
      <c r="D18" s="182">
        <f t="shared" si="0"/>
        <v>5.8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110957</v>
      </c>
      <c r="D20" s="182">
        <f t="shared" si="0"/>
        <v>5.3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126577</v>
      </c>
      <c r="D21" s="182">
        <f t="shared" si="0"/>
        <v>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47181</v>
      </c>
      <c r="D27" s="182">
        <f t="shared" si="0"/>
        <v>2.2000000000000002</v>
      </c>
    </row>
    <row r="28" spans="1:4" x14ac:dyDescent="0.2">
      <c r="B28" s="187" t="s">
        <v>717</v>
      </c>
      <c r="C28" s="180">
        <f>SUM(C10:C27)</f>
        <v>2105905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2105905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1019655</v>
      </c>
      <c r="D35" s="182">
        <f t="shared" ref="D35:D40" si="1">ROUND((C35/$C$41)*100,1)</f>
        <v>49.2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19498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891375</v>
      </c>
      <c r="D37" s="182">
        <f t="shared" si="1"/>
        <v>43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18720</v>
      </c>
      <c r="D38" s="182">
        <f t="shared" si="1"/>
        <v>0.9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124055</v>
      </c>
      <c r="D39" s="182">
        <f t="shared" si="1"/>
        <v>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2073303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WARREN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2018-11-29T13:59:27Z</cp:lastPrinted>
  <dcterms:created xsi:type="dcterms:W3CDTF">1997-12-04T19:04:30Z</dcterms:created>
  <dcterms:modified xsi:type="dcterms:W3CDTF">2018-11-29T13:59:30Z</dcterms:modified>
</cp:coreProperties>
</file>