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20490" windowHeight="765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J655" i="1" s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D5" i="13" s="1"/>
  <c r="C5" i="13" s="1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D12" i="13" s="1"/>
  <c r="C12" i="13" s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E112" i="2" s="1"/>
  <c r="L281" i="1"/>
  <c r="L282" i="1"/>
  <c r="L283" i="1"/>
  <c r="L284" i="1"/>
  <c r="E121" i="2" s="1"/>
  <c r="L285" i="1"/>
  <c r="L286" i="1"/>
  <c r="L287" i="1"/>
  <c r="L288" i="1"/>
  <c r="E125" i="2" s="1"/>
  <c r="L295" i="1"/>
  <c r="L309" i="1" s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28" i="1" s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C25" i="10" s="1"/>
  <c r="L341" i="1"/>
  <c r="L342" i="1"/>
  <c r="L255" i="1"/>
  <c r="C130" i="2" s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A31" i="12" s="1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401" i="1" s="1"/>
  <c r="C139" i="2" s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L612" i="1"/>
  <c r="G663" i="1" s="1"/>
  <c r="L611" i="1"/>
  <c r="F663" i="1" s="1"/>
  <c r="C40" i="10"/>
  <c r="F60" i="1"/>
  <c r="G60" i="1"/>
  <c r="H60" i="1"/>
  <c r="I60" i="1"/>
  <c r="F56" i="2" s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C91" i="2" s="1"/>
  <c r="F162" i="1"/>
  <c r="F169" i="1" s="1"/>
  <c r="G147" i="1"/>
  <c r="G162" i="1"/>
  <c r="H147" i="1"/>
  <c r="H162" i="1"/>
  <c r="I147" i="1"/>
  <c r="I162" i="1"/>
  <c r="C11" i="10"/>
  <c r="L250" i="1"/>
  <c r="L332" i="1"/>
  <c r="L254" i="1"/>
  <c r="L268" i="1"/>
  <c r="L269" i="1"/>
  <c r="C143" i="2" s="1"/>
  <c r="L349" i="1"/>
  <c r="C26" i="10" s="1"/>
  <c r="L350" i="1"/>
  <c r="I665" i="1"/>
  <c r="I670" i="1"/>
  <c r="G661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F552" i="1" s="1"/>
  <c r="L522" i="1"/>
  <c r="F550" i="1" s="1"/>
  <c r="L523" i="1"/>
  <c r="F551" i="1" s="1"/>
  <c r="L526" i="1"/>
  <c r="L527" i="1"/>
  <c r="G550" i="1" s="1"/>
  <c r="L528" i="1"/>
  <c r="G551" i="1" s="1"/>
  <c r="L531" i="1"/>
  <c r="H549" i="1" s="1"/>
  <c r="H552" i="1" s="1"/>
  <c r="L532" i="1"/>
  <c r="H550" i="1" s="1"/>
  <c r="K550" i="1" s="1"/>
  <c r="L533" i="1"/>
  <c r="H551" i="1" s="1"/>
  <c r="L536" i="1"/>
  <c r="I549" i="1" s="1"/>
  <c r="L537" i="1"/>
  <c r="I550" i="1" s="1"/>
  <c r="L538" i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F18" i="2" s="1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D31" i="2" s="1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0" i="2"/>
  <c r="E110" i="2"/>
  <c r="E111" i="2"/>
  <c r="C112" i="2"/>
  <c r="C113" i="2"/>
  <c r="E113" i="2"/>
  <c r="D115" i="2"/>
  <c r="F115" i="2"/>
  <c r="G115" i="2"/>
  <c r="C119" i="2"/>
  <c r="E119" i="2"/>
  <c r="E120" i="2"/>
  <c r="C121" i="2"/>
  <c r="E123" i="2"/>
  <c r="E124" i="2"/>
  <c r="C125" i="2"/>
  <c r="F128" i="2"/>
  <c r="G128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G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G620" i="1" s="1"/>
  <c r="F32" i="1"/>
  <c r="F52" i="1" s="1"/>
  <c r="H617" i="1" s="1"/>
  <c r="G32" i="1"/>
  <c r="H32" i="1"/>
  <c r="I32" i="1"/>
  <c r="G52" i="1"/>
  <c r="H618" i="1" s="1"/>
  <c r="H51" i="1"/>
  <c r="H52" i="1" s="1"/>
  <c r="H619" i="1" s="1"/>
  <c r="I51" i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I257" i="1" s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L256" i="1" s="1"/>
  <c r="H256" i="1"/>
  <c r="I256" i="1"/>
  <c r="J256" i="1"/>
  <c r="K256" i="1"/>
  <c r="F257" i="1"/>
  <c r="F271" i="1" s="1"/>
  <c r="F290" i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J644" i="1" s="1"/>
  <c r="I408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I452" i="1"/>
  <c r="F460" i="1"/>
  <c r="G460" i="1"/>
  <c r="H460" i="1"/>
  <c r="I460" i="1"/>
  <c r="I461" i="1" s="1"/>
  <c r="H642" i="1" s="1"/>
  <c r="F461" i="1"/>
  <c r="G461" i="1"/>
  <c r="H461" i="1"/>
  <c r="F470" i="1"/>
  <c r="G470" i="1"/>
  <c r="H470" i="1"/>
  <c r="I470" i="1"/>
  <c r="I476" i="1" s="1"/>
  <c r="H625" i="1" s="1"/>
  <c r="J470" i="1"/>
  <c r="F474" i="1"/>
  <c r="F476" i="1" s="1"/>
  <c r="H622" i="1" s="1"/>
  <c r="G474" i="1"/>
  <c r="H474" i="1"/>
  <c r="H476" i="1" s="1"/>
  <c r="H624" i="1" s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H545" i="1" s="1"/>
  <c r="I524" i="1"/>
  <c r="J524" i="1"/>
  <c r="K524" i="1"/>
  <c r="F529" i="1"/>
  <c r="G529" i="1"/>
  <c r="H529" i="1"/>
  <c r="I529" i="1"/>
  <c r="J529" i="1"/>
  <c r="K529" i="1"/>
  <c r="K545" i="1" s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H571" i="1" s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9" i="1"/>
  <c r="G622" i="1"/>
  <c r="G623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39" i="1"/>
  <c r="H639" i="1"/>
  <c r="G640" i="1"/>
  <c r="H640" i="1"/>
  <c r="G641" i="1"/>
  <c r="H641" i="1"/>
  <c r="G643" i="1"/>
  <c r="J643" i="1" s="1"/>
  <c r="H643" i="1"/>
  <c r="G644" i="1"/>
  <c r="G645" i="1"/>
  <c r="H645" i="1"/>
  <c r="G650" i="1"/>
  <c r="G651" i="1"/>
  <c r="G652" i="1"/>
  <c r="H652" i="1"/>
  <c r="G653" i="1"/>
  <c r="H653" i="1"/>
  <c r="G654" i="1"/>
  <c r="H654" i="1"/>
  <c r="H655" i="1"/>
  <c r="F192" i="1"/>
  <c r="G257" i="1"/>
  <c r="G271" i="1" s="1"/>
  <c r="D62" i="2"/>
  <c r="D63" i="2" s="1"/>
  <c r="D18" i="2"/>
  <c r="D50" i="2"/>
  <c r="G156" i="2"/>
  <c r="D91" i="2"/>
  <c r="G62" i="2"/>
  <c r="D19" i="13"/>
  <c r="C19" i="13" s="1"/>
  <c r="E78" i="2"/>
  <c r="E81" i="2" s="1"/>
  <c r="J571" i="1"/>
  <c r="D81" i="2"/>
  <c r="I169" i="1"/>
  <c r="J476" i="1"/>
  <c r="H626" i="1" s="1"/>
  <c r="G338" i="1"/>
  <c r="G352" i="1" s="1"/>
  <c r="J140" i="1"/>
  <c r="G22" i="2"/>
  <c r="J552" i="1"/>
  <c r="H140" i="1"/>
  <c r="J640" i="1"/>
  <c r="F338" i="1"/>
  <c r="F352" i="1" s="1"/>
  <c r="H192" i="1"/>
  <c r="E16" i="13"/>
  <c r="C16" i="13" s="1"/>
  <c r="L570" i="1"/>
  <c r="I571" i="1"/>
  <c r="G36" i="2"/>
  <c r="L565" i="1"/>
  <c r="A40" i="12" l="1"/>
  <c r="G545" i="1"/>
  <c r="I545" i="1"/>
  <c r="G476" i="1"/>
  <c r="H623" i="1" s="1"/>
  <c r="J623" i="1" s="1"/>
  <c r="J634" i="1"/>
  <c r="C16" i="10"/>
  <c r="K338" i="1"/>
  <c r="K352" i="1" s="1"/>
  <c r="C20" i="10"/>
  <c r="E8" i="13"/>
  <c r="C8" i="13" s="1"/>
  <c r="D7" i="13"/>
  <c r="C7" i="13" s="1"/>
  <c r="K257" i="1"/>
  <c r="K271" i="1" s="1"/>
  <c r="C70" i="2"/>
  <c r="G624" i="1"/>
  <c r="J624" i="1" s="1"/>
  <c r="J622" i="1"/>
  <c r="J617" i="1"/>
  <c r="E57" i="2"/>
  <c r="E62" i="2" s="1"/>
  <c r="E63" i="2" s="1"/>
  <c r="H112" i="1"/>
  <c r="H193" i="1" s="1"/>
  <c r="G629" i="1" s="1"/>
  <c r="J629" i="1" s="1"/>
  <c r="C35" i="10"/>
  <c r="C36" i="10" s="1"/>
  <c r="C56" i="2"/>
  <c r="E118" i="2"/>
  <c r="E128" i="2" s="1"/>
  <c r="L290" i="1"/>
  <c r="C10" i="10"/>
  <c r="E109" i="2"/>
  <c r="E115" i="2" s="1"/>
  <c r="H661" i="1"/>
  <c r="D29" i="13"/>
  <c r="C29" i="13" s="1"/>
  <c r="F661" i="1"/>
  <c r="C122" i="2"/>
  <c r="E13" i="13"/>
  <c r="C13" i="13" s="1"/>
  <c r="C19" i="10"/>
  <c r="H25" i="13"/>
  <c r="J645" i="1"/>
  <c r="H169" i="1"/>
  <c r="L393" i="1"/>
  <c r="C138" i="2" s="1"/>
  <c r="D127" i="2"/>
  <c r="D128" i="2" s="1"/>
  <c r="D145" i="2" s="1"/>
  <c r="C18" i="10"/>
  <c r="L229" i="1"/>
  <c r="G660" i="1" s="1"/>
  <c r="G664" i="1" s="1"/>
  <c r="F112" i="1"/>
  <c r="J641" i="1"/>
  <c r="F571" i="1"/>
  <c r="L560" i="1"/>
  <c r="E142" i="2"/>
  <c r="C132" i="2"/>
  <c r="I551" i="1"/>
  <c r="K551" i="1" s="1"/>
  <c r="L539" i="1"/>
  <c r="G549" i="1"/>
  <c r="L529" i="1"/>
  <c r="E134" i="2"/>
  <c r="L351" i="1"/>
  <c r="F130" i="2"/>
  <c r="F144" i="2" s="1"/>
  <c r="F145" i="2" s="1"/>
  <c r="J625" i="1"/>
  <c r="H663" i="1"/>
  <c r="L614" i="1"/>
  <c r="F22" i="13"/>
  <c r="C22" i="13" s="1"/>
  <c r="E130" i="2"/>
  <c r="E144" i="2" s="1"/>
  <c r="E122" i="2"/>
  <c r="C21" i="10"/>
  <c r="H647" i="1"/>
  <c r="F662" i="1"/>
  <c r="I662" i="1" s="1"/>
  <c r="C124" i="2"/>
  <c r="G649" i="1"/>
  <c r="J649" i="1" s="1"/>
  <c r="D15" i="13"/>
  <c r="C15" i="13" s="1"/>
  <c r="C118" i="2"/>
  <c r="D6" i="13"/>
  <c r="C6" i="13" s="1"/>
  <c r="C15" i="10"/>
  <c r="C12" i="10"/>
  <c r="C111" i="2"/>
  <c r="C115" i="2" s="1"/>
  <c r="J545" i="1"/>
  <c r="L427" i="1"/>
  <c r="E103" i="2"/>
  <c r="L211" i="1"/>
  <c r="A13" i="12"/>
  <c r="D17" i="13"/>
  <c r="C17" i="13" s="1"/>
  <c r="D14" i="13"/>
  <c r="C14" i="13" s="1"/>
  <c r="L247" i="1"/>
  <c r="H660" i="1" s="1"/>
  <c r="C17" i="10"/>
  <c r="J651" i="1"/>
  <c r="J639" i="1"/>
  <c r="K598" i="1"/>
  <c r="G647" i="1" s="1"/>
  <c r="J647" i="1" s="1"/>
  <c r="K571" i="1"/>
  <c r="L534" i="1"/>
  <c r="H257" i="1"/>
  <c r="H271" i="1" s="1"/>
  <c r="J257" i="1"/>
  <c r="J271" i="1" s="1"/>
  <c r="I52" i="1"/>
  <c r="H620" i="1" s="1"/>
  <c r="G625" i="1"/>
  <c r="B164" i="2"/>
  <c r="G164" i="2" s="1"/>
  <c r="K503" i="1"/>
  <c r="C123" i="2"/>
  <c r="C114" i="2"/>
  <c r="C78" i="2"/>
  <c r="C18" i="2"/>
  <c r="L270" i="1"/>
  <c r="L544" i="1"/>
  <c r="L524" i="1"/>
  <c r="J338" i="1"/>
  <c r="J352" i="1" s="1"/>
  <c r="C120" i="2"/>
  <c r="C13" i="10"/>
  <c r="I271" i="1"/>
  <c r="L382" i="1"/>
  <c r="G636" i="1" s="1"/>
  <c r="J636" i="1" s="1"/>
  <c r="C62" i="2"/>
  <c r="C29" i="10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G169" i="1"/>
  <c r="G140" i="1"/>
  <c r="F140" i="1"/>
  <c r="F193" i="1" s="1"/>
  <c r="G627" i="1" s="1"/>
  <c r="J627" i="1" s="1"/>
  <c r="G63" i="2"/>
  <c r="G104" i="2" s="1"/>
  <c r="J618" i="1"/>
  <c r="G42" i="2"/>
  <c r="G50" i="2" s="1"/>
  <c r="G51" i="2" s="1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J652" i="1"/>
  <c r="J642" i="1"/>
  <c r="G571" i="1"/>
  <c r="I434" i="1"/>
  <c r="G434" i="1"/>
  <c r="I663" i="1"/>
  <c r="C27" i="10"/>
  <c r="G635" i="1"/>
  <c r="J635" i="1" s="1"/>
  <c r="L545" i="1" l="1"/>
  <c r="H664" i="1"/>
  <c r="H667" i="1" s="1"/>
  <c r="I661" i="1"/>
  <c r="E145" i="2"/>
  <c r="L257" i="1"/>
  <c r="L271" i="1" s="1"/>
  <c r="G632" i="1" s="1"/>
  <c r="J632" i="1" s="1"/>
  <c r="E33" i="13"/>
  <c r="D35" i="13" s="1"/>
  <c r="C128" i="2"/>
  <c r="C145" i="2" s="1"/>
  <c r="E104" i="2"/>
  <c r="C81" i="2"/>
  <c r="C63" i="2"/>
  <c r="G672" i="1"/>
  <c r="C5" i="10" s="1"/>
  <c r="G667" i="1"/>
  <c r="C25" i="13"/>
  <c r="H33" i="13"/>
  <c r="F660" i="1"/>
  <c r="H648" i="1"/>
  <c r="J648" i="1" s="1"/>
  <c r="C39" i="10"/>
  <c r="C28" i="10"/>
  <c r="D19" i="10" s="1"/>
  <c r="D31" i="13"/>
  <c r="C31" i="13" s="1"/>
  <c r="F33" i="13"/>
  <c r="I552" i="1"/>
  <c r="L338" i="1"/>
  <c r="L352" i="1" s="1"/>
  <c r="G633" i="1" s="1"/>
  <c r="J633" i="1" s="1"/>
  <c r="G552" i="1"/>
  <c r="K549" i="1"/>
  <c r="K552" i="1" s="1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H672" i="1" l="1"/>
  <c r="C6" i="10" s="1"/>
  <c r="D23" i="10"/>
  <c r="D18" i="10"/>
  <c r="D11" i="10"/>
  <c r="C30" i="10"/>
  <c r="D13" i="10"/>
  <c r="D16" i="10"/>
  <c r="D12" i="10"/>
  <c r="D10" i="10"/>
  <c r="D17" i="10"/>
  <c r="D22" i="10"/>
  <c r="D27" i="10"/>
  <c r="D26" i="10"/>
  <c r="D21" i="10"/>
  <c r="D24" i="10"/>
  <c r="D20" i="10"/>
  <c r="D15" i="10"/>
  <c r="D25" i="10"/>
  <c r="C104" i="2"/>
  <c r="F664" i="1"/>
  <c r="I660" i="1"/>
  <c r="I664" i="1" s="1"/>
  <c r="I672" i="1" s="1"/>
  <c r="C7" i="10" s="1"/>
  <c r="H656" i="1"/>
  <c r="C41" i="10"/>
  <c r="D38" i="10" s="1"/>
  <c r="I667" i="1" l="1"/>
  <c r="D28" i="10"/>
  <c r="F672" i="1"/>
  <c r="C4" i="10" s="1"/>
  <c r="F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<sst xmlns="http://schemas.openxmlformats.org/spreadsheetml/2006/main" count="3960" uniqueCount="916">
  <si>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</si>
  <si>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</si>
  <si>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</si>
  <si>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</si>
  <si>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</si>
  <si>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</si>
  <si>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</si>
  <si>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</si>
  <si>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</si>
  <si>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</si>
  <si>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</si>
  <si>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</si>
  <si>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</si>
  <si>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</si>
  <si>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</si>
  <si>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</si>
  <si>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</si>
  <si>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</si>
  <si>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</si>
  <si>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</si>
  <si>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</si>
  <si>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</si>
  <si>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</si>
  <si>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</si>
  <si>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</si>
  <si>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</si>
  <si>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</si>
  <si>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</si>
  <si>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</si>
  <si>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</si>
  <si>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</si>
  <si>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</si>
  <si>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</si>
  <si>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</si>
  <si>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</si>
  <si>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</si>
  <si>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</si>
  <si>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</si>
  <si>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</si>
  <si>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</si>
  <si>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</si>
  <si>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</si>
  <si>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</si>
  <si>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</si>
  <si>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</si>
  <si>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</si>
  <si>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</si>
  <si>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</si>
  <si>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</si>
  <si>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</si>
  <si>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</si>
  <si>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</si>
  <si>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</si>
  <si>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</si>
  <si>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</si>
  <si>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</si>
  <si>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</si>
  <si>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</si>
  <si>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</si>
  <si>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</si>
  <si>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</si>
  <si>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</si>
  <si>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</si>
  <si>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</si>
  <si>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</si>
  <si>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</si>
  <si>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</si>
  <si>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</si>
  <si>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</si>
  <si>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</si>
  <si>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</si>
  <si>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</si>
  <si>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</si>
  <si>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</si>
  <si>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</si>
  <si>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</si>
  <si>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</si>
  <si>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</si>
  <si>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</si>
  <si>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</si>
  <si>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</si>
  <si>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</si>
  <si>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</si>
  <si>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</si>
  <si>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</si>
  <si>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</si>
  <si>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</si>
  <si>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</si>
  <si>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</si>
  <si>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</si>
  <si>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</si>
  <si>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</si>
  <si>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</si>
  <si>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</si>
  <si>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</si>
  <si>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</si>
  <si>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</si>
  <si>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</si>
  <si>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</si>
  <si>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</si>
  <si>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</si>
  <si>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</si>
  <si>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</si>
  <si>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</si>
  <si>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</si>
  <si>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</si>
  <si>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</si>
  <si>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</si>
  <si>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</si>
  <si>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</si>
  <si>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</si>
  <si>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</si>
  <si>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</si>
  <si>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</si>
  <si>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</si>
  <si>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</si>
  <si>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</si>
  <si>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</si>
  <si>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</si>
  <si>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</si>
  <si>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</si>
  <si>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</si>
  <si>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</si>
  <si>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</si>
  <si>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</si>
  <si>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</si>
  <si>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</si>
  <si>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</si>
  <si>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</si>
  <si>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</si>
  <si>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</si>
  <si>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</si>
  <si>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</si>
  <si>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</si>
  <si>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</si>
  <si>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</si>
  <si>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</si>
  <si>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</si>
  <si>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</si>
  <si>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</si>
  <si>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</si>
  <si>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</si>
  <si>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</si>
  <si>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</si>
  <si>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</si>
  <si>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</si>
  <si>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</si>
  <si>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</si>
  <si>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</si>
  <si>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</si>
  <si>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</si>
  <si>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</si>
  <si>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</si>
  <si>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</si>
  <si>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</si>
  <si>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</si>
  <si>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</si>
  <si>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</si>
  <si>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</si>
  <si>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</si>
  <si>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</si>
  <si>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</si>
  <si>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</si>
  <si>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</si>
  <si>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</si>
  <si>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</si>
  <si>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</si>
  <si>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</si>
  <si>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</si>
  <si>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</si>
  <si>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</si>
  <si>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</si>
  <si>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</si>
  <si>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</si>
  <si>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</si>
  <si>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</si>
  <si>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</si>
  <si>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</si>
  <si>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</si>
  <si>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</si>
  <si>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</si>
  <si>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</si>
  <si>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</si>
  <si>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</si>
  <si>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</si>
  <si>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</si>
  <si>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</si>
  <si>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</si>
  <si>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</si>
  <si>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</si>
  <si>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</si>
  <si>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</si>
  <si>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</si>
  <si>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</si>
  <si>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</si>
  <si>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</si>
  <si>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</si>
  <si>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</si>
  <si>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</si>
  <si>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</si>
  <si>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</si>
  <si>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</si>
  <si>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</si>
  <si>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</si>
  <si>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</si>
  <si>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</si>
  <si>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</si>
  <si>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</si>
  <si>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</si>
  <si>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</si>
  <si>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</si>
  <si>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</si>
  <si>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</si>
  <si>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</si>
  <si>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</si>
  <si>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</si>
  <si>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</si>
  <si>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</si>
  <si>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</si>
  <si>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</si>
  <si>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</si>
  <si>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</si>
  <si>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</si>
  <si>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</si>
  <si>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</si>
  <si>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</si>
  <si>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</si>
  <si>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</si>
  <si>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</si>
  <si>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</si>
  <si>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</si>
  <si>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</si>
  <si>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</si>
  <si>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</si>
  <si>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</si>
  <si>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</si>
  <si>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</si>
  <si>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</si>
  <si>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</si>
  <si>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</si>
  <si>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</si>
  <si>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</si>
  <si>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</si>
  <si>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</si>
  <si>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</si>
  <si>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</si>
  <si>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</si>
  <si>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</si>
  <si>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</si>
  <si>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</si>
  <si>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</si>
  <si>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</si>
  <si>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</si>
  <si>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</si>
  <si>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</si>
  <si>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</si>
  <si>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</si>
  <si>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</si>
  <si>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</si>
  <si>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</si>
  <si>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</si>
  <si>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</si>
  <si>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</si>
  <si>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</si>
  <si>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</si>
  <si>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</si>
  <si>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</si>
  <si>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</si>
  <si>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</si>
  <si>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</si>
  <si>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</si>
  <si>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</si>
  <si>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</si>
  <si>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</si>
  <si>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</si>
  <si>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</si>
  <si>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</si>
  <si>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</si>
  <si>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</si>
  <si>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</si>
  <si>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</si>
  <si>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</si>
  <si>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</si>
  <si>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</si>
  <si>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</si>
  <si>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</si>
  <si>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</si>
  <si>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</si>
  <si>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</si>
  <si>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</si>
  <si>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</si>
  <si>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</si>
  <si>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</si>
  <si>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</si>
  <si>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</si>
  <si>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</si>
  <si>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</si>
  <si>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</si>
  <si>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</si>
  <si>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</si>
  <si>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</si>
  <si>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</si>
  <si>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</si>
  <si>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</si>
  <si>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</si>
  <si>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</si>
  <si>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</si>
  <si>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</si>
  <si>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</si>
  <si>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</si>
  <si>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</si>
  <si>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</si>
  <si>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</si>
  <si>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</si>
  <si>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</si>
  <si>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</si>
  <si>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</si>
  <si>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</si>
  <si>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</si>
  <si>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</si>
  <si>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</si>
  <si>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</si>
  <si>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</si>
  <si>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</si>
  <si>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</si>
  <si>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</si>
  <si>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</si>
  <si>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</si>
  <si>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</si>
  <si>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</si>
  <si>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</si>
  <si>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</si>
  <si>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</si>
  <si>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</si>
  <si>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</si>
  <si>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</si>
  <si>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</si>
  <si>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</si>
  <si>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</si>
  <si>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</si>
  <si>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</si>
  <si>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</si>
  <si>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</si>
  <si>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</si>
  <si>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</si>
  <si>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</si>
  <si>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</si>
  <si>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</si>
  <si>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</si>
  <si>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</si>
  <si>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</si>
  <si>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</si>
  <si>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</si>
  <si>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</si>
  <si>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</si>
  <si>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</si>
  <si>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</si>
  <si>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</si>
  <si>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</si>
  <si>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</si>
  <si>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</si>
  <si>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</si>
  <si>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</si>
  <si>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</si>
  <si>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</si>
  <si>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</si>
  <si>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</si>
  <si>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</si>
  <si>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</si>
  <si>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</si>
  <si>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</si>
  <si>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</si>
  <si>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</si>
  <si>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</si>
  <si>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</si>
  <si>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</si>
  <si>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</si>
  <si>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</si>
  <si>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</si>
  <si>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</si>
  <si>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</si>
  <si>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</si>
  <si>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</si>
  <si>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</si>
  <si>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</si>
  <si>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</si>
  <si>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</si>
  <si>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</si>
  <si>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</si>
  <si>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</si>
  <si>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</si>
  <si>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</si>
  <si>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</si>
  <si>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</si>
  <si>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</si>
  <si>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</si>
  <si>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</si>
  <si>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</si>
  <si>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</si>
  <si>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</si>
  <si>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</si>
  <si>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</si>
  <si>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</si>
  <si>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</si>
  <si>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</si>
  <si>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</si>
  <si>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</si>
  <si>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</si>
  <si>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</si>
  <si>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</si>
  <si>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</si>
  <si>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</si>
  <si>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</si>
  <si>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</si>
  <si>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</si>
  <si>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</si>
  <si>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</si>
  <si>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</si>
  <si>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</si>
  <si>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</si>
  <si>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</si>
  <si>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</si>
  <si>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</si>
  <si>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</si>
  <si>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</si>
  <si>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</si>
  <si>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</si>
  <si>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</si>
  <si>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</si>
  <si>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</si>
  <si>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</si>
  <si>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</si>
  <si>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</si>
  <si>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</si>
  <si>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</si>
  <si>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</si>
  <si>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</si>
  <si>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</si>
  <si>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</si>
  <si>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</si>
  <si>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</si>
  <si>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</si>
  <si>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</si>
  <si>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</si>
  <si>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</si>
  <si>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</si>
  <si>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</si>
  <si>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</si>
  <si>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</si>
  <si>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</si>
  <si>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</si>
  <si>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</si>
  <si>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</si>
  <si>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</si>
  <si>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</si>
  <si>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</si>
  <si>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</si>
  <si>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</si>
  <si>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</si>
  <si>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</si>
  <si>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</si>
  <si>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</si>
  <si>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</si>
  <si>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</si>
  <si>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</si>
  <si>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</si>
  <si>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</si>
  <si>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</si>
  <si>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</si>
  <si>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</si>
  <si>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</si>
  <si>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</si>
  <si>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</si>
  <si>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</si>
  <si>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</si>
  <si>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</si>
  <si>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</si>
  <si>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</si>
  <si>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</si>
  <si>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</si>
  <si>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</si>
  <si>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</si>
  <si>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</si>
  <si>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</si>
  <si>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</si>
  <si>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</si>
  <si>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</si>
  <si>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</si>
  <si>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</si>
  <si>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</si>
  <si>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</si>
  <si>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</si>
  <si>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</si>
  <si>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</si>
  <si>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</si>
  <si>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</si>
  <si>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</si>
  <si>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</si>
  <si>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</si>
  <si>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</si>
  <si>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</si>
  <si>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</si>
  <si>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</si>
  <si>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</si>
  <si>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</si>
  <si>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</si>
  <si>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</si>
  <si>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</si>
  <si>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</si>
  <si>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</si>
  <si>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</si>
  <si>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</si>
  <si>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</si>
  <si>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</si>
  <si>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</si>
  <si>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</si>
  <si>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</si>
  <si>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</si>
  <si>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</si>
  <si>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</si>
  <si>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</si>
  <si>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</si>
  <si>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</si>
  <si>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</si>
  <si>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</si>
  <si>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</si>
  <si>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</si>
  <si>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</si>
  <si>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</si>
  <si>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</si>
  <si>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</si>
  <si>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</si>
  <si>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</si>
  <si>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</si>
  <si>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</si>
  <si>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</si>
  <si>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</si>
  <si>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</si>
  <si>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</si>
  <si>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</si>
  <si>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</si>
  <si>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</si>
  <si>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</si>
  <si>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</si>
  <si>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</si>
  <si>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</si>
  <si>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</si>
  <si>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</si>
  <si>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</si>
  <si>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</si>
  <si>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</si>
  <si>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</si>
  <si>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</si>
  <si>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</si>
  <si>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</si>
  <si>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</si>
  <si>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</si>
  <si>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</si>
  <si>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</si>
  <si>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</si>
  <si>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</si>
  <si>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</si>
  <si>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</si>
  <si>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</si>
  <si>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</si>
  <si>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</si>
  <si>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</si>
  <si>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</si>
  <si>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</si>
  <si>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</si>
  <si>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</si>
  <si>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</si>
  <si>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</si>
  <si>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</si>
  <si>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</si>
  <si>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</si>
  <si>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</si>
  <si>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</si>
  <si>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</si>
  <si>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</si>
  <si>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</si>
  <si>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</si>
  <si>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</si>
  <si>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</si>
  <si>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</si>
  <si>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</si>
  <si>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</si>
  <si>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</si>
  <si>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</si>
  <si>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</si>
  <si>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</si>
  <si>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</si>
  <si>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</si>
  <si>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</si>
  <si>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</si>
  <si>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</si>
  <si>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</si>
  <si>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</si>
  <si>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</si>
  <si>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</si>
  <si>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</si>
  <si>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</si>
  <si>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</si>
  <si>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</si>
  <si>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</si>
  <si>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</si>
  <si>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</si>
  <si>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</si>
  <si>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</si>
  <si>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</si>
  <si>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</si>
  <si>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</si>
  <si>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</si>
  <si>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</si>
  <si>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</si>
  <si>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</si>
  <si>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</si>
  <si>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</si>
  <si>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</si>
  <si>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</si>
  <si>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</si>
  <si>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</si>
  <si>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</si>
  <si>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</si>
  <si>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</si>
  <si>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</si>
  <si>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</si>
  <si>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</si>
  <si>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</si>
  <si>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</si>
  <si>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</si>
  <si>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</si>
  <si>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</si>
  <si>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</si>
  <si>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</si>
  <si>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</si>
  <si>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</si>
  <si>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</si>
  <si>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</si>
  <si>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</si>
  <si>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</si>
  <si>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</si>
  <si>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</si>
  <si>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</si>
  <si>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</si>
  <si>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</si>
  <si>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</si>
  <si>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</si>
  <si>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</si>
  <si>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</si>
  <si>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</si>
  <si>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</si>
  <si>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</si>
  <si>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</si>
  <si>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</si>
  <si>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</si>
  <si>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</si>
  <si>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</si>
  <si>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</si>
  <si>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</si>
  <si>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</si>
  <si>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</si>
  <si>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</si>
  <si>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</si>
  <si>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</si>
  <si>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</si>
  <si>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</si>
  <si>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</si>
  <si>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</si>
  <si>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</si>
  <si>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</si>
  <si>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</si>
  <si>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</si>
  <si>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</si>
  <si>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</si>
  <si>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</si>
  <si>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</si>
  <si>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</si>
  <si>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</si>
  <si>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</si>
  <si>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</si>
  <si>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</si>
  <si>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</si>
  <si>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</si>
  <si>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</si>
  <si>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</si>
  <si>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</si>
  <si>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</si>
  <si>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</si>
  <si>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</si>
  <si>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</si>
  <si>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</si>
  <si>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</si>
  <si>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</si>
  <si>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</si>
  <si>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</si>
  <si>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</si>
  <si>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</si>
  <si>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</si>
  <si>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</si>
  <si>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</si>
  <si>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</si>
  <si>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</si>
  <si>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</si>
  <si>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</si>
  <si>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</si>
  <si>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</si>
  <si>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</si>
  <si>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</si>
  <si>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</si>
  <si>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</si>
  <si>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</si>
  <si>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</si>
  <si>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</si>
  <si>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</si>
  <si>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</si>
  <si>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</si>
  <si>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</si>
  <si>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</si>
  <si>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</si>
  <si>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</si>
  <si>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</si>
  <si>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</si>
  <si>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</si>
  <si>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</si>
  <si>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</si>
  <si>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</si>
  <si>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</si>
  <si>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</si>
  <si>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</si>
  <si>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</si>
  <si>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</si>
  <si>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</si>
  <si>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</si>
  <si>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</si>
  <si>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</si>
  <si>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</si>
  <si>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</si>
  <si>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</si>
  <si>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</si>
  <si>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</si>
  <si>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</si>
  <si>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</si>
  <si>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</si>
  <si>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</si>
  <si>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</si>
  <si>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</si>
  <si>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</si>
  <si>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</si>
  <si>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</si>
  <si>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</si>
  <si>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</si>
  <si>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</si>
  <si>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</si>
  <si>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</si>
  <si>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</si>
  <si>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</si>
  <si>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</si>
  <si>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</si>
  <si>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</si>
  <si>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</si>
  <si>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</si>
  <si>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</si>
  <si>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</si>
  <si>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</si>
  <si>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</si>
  <si>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</si>
  <si>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</si>
  <si>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</si>
  <si>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</si>
  <si>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</si>
  <si>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</si>
  <si>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</si>
  <si>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</si>
  <si>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</si>
  <si>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</si>
  <si>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</si>
  <si>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</si>
  <si>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</si>
  <si>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</si>
  <si>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</si>
  <si>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</si>
  <si>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</si>
  <si>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</si>
  <si>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</si>
  <si>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</si>
  <si>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</si>
  <si>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</si>
  <si>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</si>
  <si>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</si>
  <si>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</si>
  <si>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</si>
  <si>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</si>
  <si>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</si>
  <si>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</si>
  <si>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</si>
  <si>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</si>
  <si>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</si>
  <si>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</si>
  <si>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</si>
  <si>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</si>
  <si>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</si>
  <si>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</si>
  <si>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</si>
  <si>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</si>
  <si>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</si>
  <si>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</si>
  <si>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</si>
  <si>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</si>
  <si>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</si>
  <si>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</si>
  <si>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</si>
  <si>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</si>
  <si>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</si>
  <si>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</si>
  <si>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</si>
  <si>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</si>
  <si>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</si>
  <si>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</si>
  <si>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</si>
  <si>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</si>
  <si>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</si>
  <si>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</si>
  <si>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</si>
  <si>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</si>
  <si>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</si>
  <si>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</si>
  <si>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</si>
  <si>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</si>
  <si>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</si>
  <si>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</si>
  <si>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</si>
  <si>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</si>
  <si>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</si>
  <si>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</si>
  <si>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</si>
  <si>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</si>
  <si>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</si>
  <si>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</si>
  <si>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</si>
  <si>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</si>
  <si>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</si>
  <si>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</si>
  <si>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</si>
  <si>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</si>
  <si>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</si>
  <si>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</si>
  <si>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</si>
  <si>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</si>
  <si>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</si>
  <si>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</si>
  <si>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</si>
  <si>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</si>
  <si>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</si>
  <si>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</si>
  <si>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</si>
  <si>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</si>
  <si>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</si>
  <si>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</si>
  <si>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</si>
  <si>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</si>
  <si>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</si>
  <si>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</si>
  <si>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</si>
  <si>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</si>
  <si>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</si>
  <si>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</si>
  <si>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</si>
  <si>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</si>
  <si>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</si>
  <si>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</si>
  <si>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</si>
  <si>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</si>
  <si>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</si>
  <si>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</si>
  <si>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</si>
  <si>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</si>
  <si>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</si>
  <si>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</si>
  <si>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</si>
  <si>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</si>
  <si>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</si>
  <si>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</si>
  <si>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</si>
  <si>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</si>
  <si>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</si>
  <si>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</si>
  <si>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</si>
  <si>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</si>
  <si>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</si>
  <si>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</si>
  <si>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</si>
  <si>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</si>
  <si>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</si>
  <si>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</si>
  <si>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</si>
  <si>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</si>
  <si>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</si>
  <si>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</si>
  <si>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</si>
  <si>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</si>
  <si>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</si>
  <si>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</si>
  <si>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</si>
  <si>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</si>
  <si>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</si>
  <si>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</si>
  <si>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</si>
  <si>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</si>
  <si>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</si>
  <si>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</si>
  <si>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</si>
  <si>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Waterville Valley School District</t>
  </si>
  <si>
    <t>FY17 Auditor Adjustment</t>
  </si>
  <si>
    <t>-</t>
  </si>
  <si>
    <t>Auditor Adjustment from Prior Year Tuition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</si>
</sst>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47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553</v>
      </c>
      <c r="C2" s="21">
        <v>553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94499.94</v>
      </c>
      <c r="G9" s="18">
        <v>-174.63</v>
      </c>
      <c r="H9" s="18">
        <v>-673.03</v>
      </c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/>
      <c r="G13" s="18"/>
      <c r="H13" s="18">
        <v>689.74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94499.94</v>
      </c>
      <c r="G19" s="41">
        <f>SUM(G9:G18)</f>
        <v>-174.63</v>
      </c>
      <c r="H19" s="41">
        <f>SUM(H9:H18)</f>
        <v>16.710000000000036</v>
      </c>
      <c r="I19" s="41">
        <f>SUM(I9:I18)</f>
        <v>0</v>
      </c>
      <c r="J19" s="41">
        <f>SUM(J9:J18)</f>
        <v>0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5624.33</v>
      </c>
      <c r="G24" s="18"/>
      <c r="H24" s="18">
        <v>16.71</v>
      </c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5624.33</v>
      </c>
      <c r="G32" s="41">
        <f>SUM(G22:G31)</f>
        <v>0</v>
      </c>
      <c r="H32" s="41">
        <f>SUM(H22:H31)</f>
        <v>16.71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>
        <v>42983</v>
      </c>
      <c r="G45" s="18"/>
      <c r="H45" s="18">
        <v>62.1</v>
      </c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>
        <v>-174.63</v>
      </c>
      <c r="H48" s="18">
        <v>-62.1</v>
      </c>
      <c r="I48" s="18"/>
      <c r="J48" s="13">
        <f>SUM(I459)</f>
        <v>0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45892.61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88875.61</v>
      </c>
      <c r="G51" s="41">
        <f>SUM(G35:G50)</f>
        <v>-174.63</v>
      </c>
      <c r="H51" s="41">
        <f>SUM(H35:H50)</f>
        <v>0</v>
      </c>
      <c r="I51" s="41">
        <f>SUM(I35:I50)</f>
        <v>0</v>
      </c>
      <c r="J51" s="41">
        <f>SUM(J35:J50)</f>
        <v>0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94499.94</v>
      </c>
      <c r="G52" s="41">
        <f>G51+G32</f>
        <v>-174.63</v>
      </c>
      <c r="H52" s="41">
        <f>H51+H32</f>
        <v>16.71</v>
      </c>
      <c r="I52" s="41">
        <f>I51+I32</f>
        <v>0</v>
      </c>
      <c r="J52" s="41">
        <f>J51+J32</f>
        <v>0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499313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499313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15022.23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15022.23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12.78</v>
      </c>
      <c r="G96" s="18">
        <v>545.54999999999995</v>
      </c>
      <c r="H96" s="18"/>
      <c r="I96" s="18"/>
      <c r="J96" s="18"/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/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1356.56</v>
      </c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524.45000000000005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1893.79</v>
      </c>
      <c r="G111" s="41">
        <f>SUM(G96:G110)</f>
        <v>545.54999999999995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516229.01999999996</v>
      </c>
      <c r="G112" s="41">
        <f>G60+G111</f>
        <v>545.54999999999995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/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793879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/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793879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/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/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793879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13597.76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1127.3499999999999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/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/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/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>
        <v>5172.9799999999996</v>
      </c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0</v>
      </c>
      <c r="G162" s="41">
        <f>SUM(G150:G161)</f>
        <v>0</v>
      </c>
      <c r="H162" s="41">
        <f>SUM(H150:H161)</f>
        <v>19898.09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>
        <v>19260.48</v>
      </c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19260.48</v>
      </c>
      <c r="G169" s="41">
        <f>G147+G162+SUM(G163:G168)</f>
        <v>0</v>
      </c>
      <c r="H169" s="41">
        <f>H147+H162+SUM(H163:H168)</f>
        <v>19898.09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1000</v>
      </c>
      <c r="H179" s="18"/>
      <c r="I179" s="18"/>
      <c r="J179" s="18"/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1000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1000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1329368.5</v>
      </c>
      <c r="G193" s="47">
        <f>G112+G140+G169+G192</f>
        <v>1545.55</v>
      </c>
      <c r="H193" s="47">
        <f>H112+H140+H169+H192</f>
        <v>19898.09</v>
      </c>
      <c r="I193" s="47">
        <f>I112+I140+I169+I192</f>
        <v>0</v>
      </c>
      <c r="J193" s="47">
        <f>J112+J140+J192</f>
        <v>0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244732.73</v>
      </c>
      <c r="G197" s="18">
        <v>101328.13</v>
      </c>
      <c r="H197" s="18">
        <v>11800.01</v>
      </c>
      <c r="I197" s="18">
        <v>11448.82</v>
      </c>
      <c r="J197" s="18">
        <v>1458.15</v>
      </c>
      <c r="K197" s="18">
        <v>2412</v>
      </c>
      <c r="L197" s="19">
        <f>SUM(F197:K197)</f>
        <v>373179.84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29693.99</v>
      </c>
      <c r="G198" s="18">
        <v>19890.099999999999</v>
      </c>
      <c r="H198" s="18">
        <v>10183.39</v>
      </c>
      <c r="I198" s="18">
        <v>2434.7199999999998</v>
      </c>
      <c r="J198" s="18"/>
      <c r="K198" s="18"/>
      <c r="L198" s="19">
        <f>SUM(F198:K198)</f>
        <v>62202.2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3560</v>
      </c>
      <c r="G200" s="18">
        <v>890.29</v>
      </c>
      <c r="H200" s="18"/>
      <c r="I200" s="18"/>
      <c r="J200" s="18"/>
      <c r="K200" s="18"/>
      <c r="L200" s="19">
        <f>SUM(F200:K200)</f>
        <v>4450.29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8746.98</v>
      </c>
      <c r="G202" s="18">
        <v>2826.02</v>
      </c>
      <c r="H202" s="18">
        <v>9548.36</v>
      </c>
      <c r="I202" s="18">
        <v>1393.62</v>
      </c>
      <c r="J202" s="18"/>
      <c r="K202" s="18">
        <v>337</v>
      </c>
      <c r="L202" s="19">
        <f t="shared" ref="L202:L208" si="0">SUM(F202:K202)</f>
        <v>22851.98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16788.990000000002</v>
      </c>
      <c r="G203" s="18">
        <v>19803.32</v>
      </c>
      <c r="H203" s="18"/>
      <c r="I203" s="18">
        <v>2020.79</v>
      </c>
      <c r="J203" s="18"/>
      <c r="K203" s="18"/>
      <c r="L203" s="19">
        <f t="shared" si="0"/>
        <v>38613.1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/>
      <c r="G204" s="18"/>
      <c r="H204" s="18">
        <v>103397.05</v>
      </c>
      <c r="I204" s="18"/>
      <c r="J204" s="18"/>
      <c r="K204" s="18">
        <v>1936.64</v>
      </c>
      <c r="L204" s="19">
        <f t="shared" si="0"/>
        <v>105333.69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109960</v>
      </c>
      <c r="G205" s="18">
        <v>40994.85</v>
      </c>
      <c r="H205" s="18">
        <v>209.25</v>
      </c>
      <c r="I205" s="18">
        <v>3942.68</v>
      </c>
      <c r="J205" s="18"/>
      <c r="K205" s="18">
        <v>9296.25</v>
      </c>
      <c r="L205" s="19">
        <f t="shared" si="0"/>
        <v>164403.03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49626.7</v>
      </c>
      <c r="G207" s="18">
        <v>15077.39</v>
      </c>
      <c r="H207" s="18">
        <v>61001.09</v>
      </c>
      <c r="I207" s="18">
        <v>33613.919999999998</v>
      </c>
      <c r="J207" s="18">
        <v>3268.08</v>
      </c>
      <c r="K207" s="18"/>
      <c r="L207" s="19">
        <f t="shared" si="0"/>
        <v>162587.17999999996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v>2491.1999999999998</v>
      </c>
      <c r="I208" s="18"/>
      <c r="J208" s="18"/>
      <c r="K208" s="18"/>
      <c r="L208" s="19">
        <f t="shared" si="0"/>
        <v>2491.1999999999998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463109.39</v>
      </c>
      <c r="G211" s="41">
        <f t="shared" si="1"/>
        <v>200810.10000000003</v>
      </c>
      <c r="H211" s="41">
        <f t="shared" si="1"/>
        <v>198630.35</v>
      </c>
      <c r="I211" s="41">
        <f t="shared" si="1"/>
        <v>54854.55</v>
      </c>
      <c r="J211" s="41">
        <f t="shared" si="1"/>
        <v>4726.2299999999996</v>
      </c>
      <c r="K211" s="41">
        <f t="shared" si="1"/>
        <v>13981.89</v>
      </c>
      <c r="L211" s="41">
        <f t="shared" si="1"/>
        <v>936112.50999999989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v>187431.4</v>
      </c>
      <c r="I233" s="18"/>
      <c r="J233" s="18"/>
      <c r="K233" s="18"/>
      <c r="L233" s="19">
        <f>SUM(F233:K233)</f>
        <v>187431.4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>
        <v>114845.44</v>
      </c>
      <c r="I234" s="18"/>
      <c r="J234" s="18"/>
      <c r="K234" s="18"/>
      <c r="L234" s="19">
        <f>SUM(F234:K234)</f>
        <v>114845.44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302276.83999999997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302276.83999999997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>
        <v>63908.17</v>
      </c>
      <c r="I255" s="18"/>
      <c r="J255" s="18"/>
      <c r="K255" s="18"/>
      <c r="L255" s="19">
        <f t="shared" si="6"/>
        <v>63908.17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63908.17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63908.17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463109.39</v>
      </c>
      <c r="G257" s="41">
        <f t="shared" si="8"/>
        <v>200810.10000000003</v>
      </c>
      <c r="H257" s="41">
        <f t="shared" si="8"/>
        <v>564815.35999999999</v>
      </c>
      <c r="I257" s="41">
        <f t="shared" si="8"/>
        <v>54854.55</v>
      </c>
      <c r="J257" s="41">
        <f t="shared" si="8"/>
        <v>4726.2299999999996</v>
      </c>
      <c r="K257" s="41">
        <f t="shared" si="8"/>
        <v>13981.89</v>
      </c>
      <c r="L257" s="41">
        <f t="shared" si="8"/>
        <v>1302297.5199999998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/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1000</v>
      </c>
      <c r="L263" s="19">
        <f>SUM(F263:K263)</f>
        <v>1000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/>
      <c r="L266" s="19">
        <f t="shared" si="9"/>
        <v>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1000</v>
      </c>
      <c r="L270" s="41">
        <f t="shared" si="9"/>
        <v>1000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463109.39</v>
      </c>
      <c r="G271" s="42">
        <f t="shared" si="11"/>
        <v>200810.10000000003</v>
      </c>
      <c r="H271" s="42">
        <f t="shared" si="11"/>
        <v>564815.35999999999</v>
      </c>
      <c r="I271" s="42">
        <f t="shared" si="11"/>
        <v>54854.55</v>
      </c>
      <c r="J271" s="42">
        <f t="shared" si="11"/>
        <v>4726.2299999999996</v>
      </c>
      <c r="K271" s="42">
        <f t="shared" si="11"/>
        <v>14981.89</v>
      </c>
      <c r="L271" s="42">
        <f t="shared" si="11"/>
        <v>1303297.5199999998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/>
      <c r="G276" s="18"/>
      <c r="H276" s="18"/>
      <c r="I276" s="18"/>
      <c r="J276" s="18"/>
      <c r="K276" s="18">
        <v>5172.9799999999996</v>
      </c>
      <c r="L276" s="19">
        <f>SUM(F276:K276)</f>
        <v>5172.9799999999996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>
        <v>12884.28</v>
      </c>
      <c r="J279" s="18"/>
      <c r="K279" s="18"/>
      <c r="L279" s="19">
        <f>SUM(F279:K279)</f>
        <v>12884.28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/>
      <c r="H282" s="18">
        <v>1802.35</v>
      </c>
      <c r="I282" s="18"/>
      <c r="J282" s="18"/>
      <c r="K282" s="18"/>
      <c r="L282" s="19">
        <f t="shared" si="12"/>
        <v>1802.35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>
        <v>38.479999999999997</v>
      </c>
      <c r="L283" s="19">
        <f t="shared" si="12"/>
        <v>38.479999999999997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1802.35</v>
      </c>
      <c r="I290" s="42">
        <f t="shared" si="13"/>
        <v>12884.28</v>
      </c>
      <c r="J290" s="42">
        <f t="shared" si="13"/>
        <v>0</v>
      </c>
      <c r="K290" s="42">
        <f t="shared" si="13"/>
        <v>5211.4599999999991</v>
      </c>
      <c r="L290" s="41">
        <f t="shared" si="13"/>
        <v>19898.09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1802.35</v>
      </c>
      <c r="I338" s="41">
        <f t="shared" si="20"/>
        <v>12884.28</v>
      </c>
      <c r="J338" s="41">
        <f t="shared" si="20"/>
        <v>0</v>
      </c>
      <c r="K338" s="41">
        <f t="shared" si="20"/>
        <v>5211.4599999999991</v>
      </c>
      <c r="L338" s="41">
        <f t="shared" si="20"/>
        <v>19898.09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0</v>
      </c>
      <c r="G352" s="41">
        <f>G338</f>
        <v>0</v>
      </c>
      <c r="H352" s="41">
        <f>H338</f>
        <v>1802.35</v>
      </c>
      <c r="I352" s="41">
        <f>I338</f>
        <v>12884.28</v>
      </c>
      <c r="J352" s="41">
        <f>J338</f>
        <v>0</v>
      </c>
      <c r="K352" s="47">
        <f>K338+K351</f>
        <v>5211.4599999999991</v>
      </c>
      <c r="L352" s="41">
        <f>L338+L351</f>
        <v>19898.09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/>
      <c r="G358" s="18"/>
      <c r="H358" s="18"/>
      <c r="I358" s="18">
        <v>1864.08</v>
      </c>
      <c r="J358" s="18"/>
      <c r="K358" s="18"/>
      <c r="L358" s="13">
        <f>SUM(F358:K358)</f>
        <v>1864.08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1864.08</v>
      </c>
      <c r="J362" s="47">
        <f t="shared" si="22"/>
        <v>0</v>
      </c>
      <c r="K362" s="47">
        <f t="shared" si="22"/>
        <v>0</v>
      </c>
      <c r="L362" s="47">
        <f t="shared" si="22"/>
        <v>1864.08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1864.08</v>
      </c>
      <c r="G367" s="18"/>
      <c r="H367" s="18"/>
      <c r="I367" s="56">
        <f>SUM(F367:H367)</f>
        <v>1864.08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/>
      <c r="G368" s="63"/>
      <c r="H368" s="63"/>
      <c r="I368" s="56">
        <f>SUM(F368:H368)</f>
        <v>0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1864.08</v>
      </c>
      <c r="G369" s="47">
        <f>SUM(G367:G368)</f>
        <v>0</v>
      </c>
      <c r="H369" s="47">
        <f>SUM(H367:H368)</f>
        <v>0</v>
      </c>
      <c r="I369" s="47">
        <f>SUM(I367:I368)</f>
        <v>1864.08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/>
      <c r="I397" s="18"/>
      <c r="J397" s="24" t="s">
        <v>286</v>
      </c>
      <c r="K397" s="24" t="s">
        <v>286</v>
      </c>
      <c r="L397" s="56">
        <f t="shared" si="26"/>
        <v>0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0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0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0</v>
      </c>
      <c r="H446" s="13">
        <f>SUM(H439:H445)</f>
        <v>0</v>
      </c>
      <c r="I446" s="13">
        <f>SUM(I439:I445)</f>
        <v>0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0</v>
      </c>
      <c r="H460" s="83">
        <f>SUM(H454:H459)</f>
        <v>0</v>
      </c>
      <c r="I460" s="83">
        <f>SUM(I454:I459)</f>
        <v>0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0</v>
      </c>
      <c r="H461" s="42">
        <f>H452+H460</f>
        <v>0</v>
      </c>
      <c r="I461" s="42">
        <f>I452+I460</f>
        <v>0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79262.460000000006</v>
      </c>
      <c r="G465" s="18">
        <v>143.9</v>
      </c>
      <c r="H465" s="18"/>
      <c r="I465" s="18"/>
      <c r="J465" s="18"/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1329368.5</v>
      </c>
      <c r="G468" s="18">
        <v>1545.55</v>
      </c>
      <c r="H468" s="18">
        <v>19898.09</v>
      </c>
      <c r="I468" s="18"/>
      <c r="J468" s="18"/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1329368.5</v>
      </c>
      <c r="G470" s="53">
        <f>SUM(G468:G469)</f>
        <v>1545.55</v>
      </c>
      <c r="H470" s="53">
        <f>SUM(H468:H469)</f>
        <v>19898.09</v>
      </c>
      <c r="I470" s="53">
        <f>SUM(I468:I469)</f>
        <v>0</v>
      </c>
      <c r="J470" s="53">
        <f>SUM(J468:J469)</f>
        <v>0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1303297.52</v>
      </c>
      <c r="G472" s="18">
        <v>1864.08</v>
      </c>
      <c r="H472" s="18">
        <v>19898.09</v>
      </c>
      <c r="I472" s="18"/>
      <c r="J472" s="18"/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>
        <v>16457.830000000002</v>
      </c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1319755.3500000001</v>
      </c>
      <c r="G474" s="53">
        <f>SUM(G472:G473)</f>
        <v>1864.08</v>
      </c>
      <c r="H474" s="53">
        <f>SUM(H472:H473)</f>
        <v>19898.09</v>
      </c>
      <c r="I474" s="53">
        <f>SUM(I472:I473)</f>
        <v>0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88875.60999999987</v>
      </c>
      <c r="G476" s="53">
        <f>(G465+G470)- G474</f>
        <v>-174.62999999999988</v>
      </c>
      <c r="H476" s="53">
        <f>(H465+H470)- H474</f>
        <v>0</v>
      </c>
      <c r="I476" s="53">
        <f>(I465+I470)- I474</f>
        <v>0</v>
      </c>
      <c r="J476" s="53">
        <f>(J465+J470)- J474</f>
        <v>0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 t="s">
        <v>915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29693.99</v>
      </c>
      <c r="G521" s="18">
        <v>19890.099999999999</v>
      </c>
      <c r="H521" s="18">
        <v>10183.39</v>
      </c>
      <c r="I521" s="18">
        <v>2434.7199999999998</v>
      </c>
      <c r="J521" s="18"/>
      <c r="K521" s="18"/>
      <c r="L521" s="88">
        <f>SUM(F521:K521)</f>
        <v>62202.2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>
        <v>114845.44</v>
      </c>
      <c r="I523" s="18"/>
      <c r="J523" s="18"/>
      <c r="K523" s="18"/>
      <c r="L523" s="88">
        <f>SUM(F523:K523)</f>
        <v>114845.44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29693.99</v>
      </c>
      <c r="G524" s="108">
        <f t="shared" ref="G524:L524" si="36">SUM(G521:G523)</f>
        <v>19890.099999999999</v>
      </c>
      <c r="H524" s="108">
        <f t="shared" si="36"/>
        <v>125028.83</v>
      </c>
      <c r="I524" s="108">
        <f t="shared" si="36"/>
        <v>2434.7199999999998</v>
      </c>
      <c r="J524" s="108">
        <f t="shared" si="36"/>
        <v>0</v>
      </c>
      <c r="K524" s="108">
        <f t="shared" si="36"/>
        <v>0</v>
      </c>
      <c r="L524" s="89">
        <f t="shared" si="36"/>
        <v>177047.64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1749.4</v>
      </c>
      <c r="G526" s="18">
        <v>565.20000000000005</v>
      </c>
      <c r="H526" s="18">
        <v>8378.81</v>
      </c>
      <c r="I526" s="18">
        <v>278.72000000000003</v>
      </c>
      <c r="J526" s="18"/>
      <c r="K526" s="18">
        <v>25.8</v>
      </c>
      <c r="L526" s="88">
        <f>SUM(F526:K526)</f>
        <v>10997.929999999998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1749.4</v>
      </c>
      <c r="G529" s="89">
        <f t="shared" ref="G529:L529" si="37">SUM(G526:G528)</f>
        <v>565.20000000000005</v>
      </c>
      <c r="H529" s="89">
        <f t="shared" si="37"/>
        <v>8378.81</v>
      </c>
      <c r="I529" s="89">
        <f t="shared" si="37"/>
        <v>278.72000000000003</v>
      </c>
      <c r="J529" s="89">
        <f t="shared" si="37"/>
        <v>0</v>
      </c>
      <c r="K529" s="89">
        <f t="shared" si="37"/>
        <v>25.8</v>
      </c>
      <c r="L529" s="89">
        <f t="shared" si="37"/>
        <v>10997.929999999998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7106.22</v>
      </c>
      <c r="G531" s="18">
        <v>3156.32</v>
      </c>
      <c r="H531" s="18"/>
      <c r="I531" s="18"/>
      <c r="J531" s="18"/>
      <c r="K531" s="18"/>
      <c r="L531" s="88">
        <f>SUM(F531:K531)</f>
        <v>10262.540000000001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7106.22</v>
      </c>
      <c r="G534" s="89">
        <f t="shared" ref="G534:L534" si="38">SUM(G531:G533)</f>
        <v>3156.32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10262.540000000001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>
        <v>3928</v>
      </c>
      <c r="I536" s="18"/>
      <c r="J536" s="18"/>
      <c r="K536" s="18"/>
      <c r="L536" s="88">
        <f>SUM(F536:K536)</f>
        <v>3928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3928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3928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38549.61</v>
      </c>
      <c r="G545" s="89">
        <f t="shared" ref="G545:L545" si="41">G524+G529+G534+G539+G544</f>
        <v>23611.62</v>
      </c>
      <c r="H545" s="89">
        <f t="shared" si="41"/>
        <v>137335.64000000001</v>
      </c>
      <c r="I545" s="89">
        <f t="shared" si="41"/>
        <v>2713.4399999999996</v>
      </c>
      <c r="J545" s="89">
        <f t="shared" si="41"/>
        <v>0</v>
      </c>
      <c r="K545" s="89">
        <f t="shared" si="41"/>
        <v>25.8</v>
      </c>
      <c r="L545" s="89">
        <f t="shared" si="41"/>
        <v>202236.11000000002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62202.2</v>
      </c>
      <c r="G549" s="87">
        <f>L526</f>
        <v>10997.929999999998</v>
      </c>
      <c r="H549" s="87">
        <f>L531</f>
        <v>10262.540000000001</v>
      </c>
      <c r="I549" s="87">
        <f>L536</f>
        <v>3928</v>
      </c>
      <c r="J549" s="87">
        <f>L541</f>
        <v>0</v>
      </c>
      <c r="K549" s="87">
        <f>SUM(F549:J549)</f>
        <v>87390.669999999984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114845.44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114845.44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177047.64</v>
      </c>
      <c r="G552" s="89">
        <f t="shared" si="42"/>
        <v>10997.929999999998</v>
      </c>
      <c r="H552" s="89">
        <f t="shared" si="42"/>
        <v>10262.540000000001</v>
      </c>
      <c r="I552" s="89">
        <f t="shared" si="42"/>
        <v>3928</v>
      </c>
      <c r="J552" s="89">
        <f t="shared" si="42"/>
        <v>0</v>
      </c>
      <c r="K552" s="89">
        <f t="shared" si="42"/>
        <v>202236.11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>
        <v>187431.4</v>
      </c>
      <c r="I575" s="87">
        <f>SUM(F575:H575)</f>
        <v>187431.4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>
        <v>114845.44</v>
      </c>
      <c r="I579" s="87">
        <f t="shared" si="47"/>
        <v>114845.44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/>
      <c r="I591" s="18"/>
      <c r="J591" s="18"/>
      <c r="K591" s="104">
        <f t="shared" ref="K591:K597" si="48">SUM(H591:J591)</f>
        <v>0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2491.1999999999998</v>
      </c>
      <c r="I595" s="18"/>
      <c r="J595" s="18"/>
      <c r="K595" s="104">
        <f t="shared" si="48"/>
        <v>2491.1999999999998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2491.1999999999998</v>
      </c>
      <c r="I598" s="108">
        <f>SUM(I591:I597)</f>
        <v>0</v>
      </c>
      <c r="J598" s="108">
        <f>SUM(J591:J597)</f>
        <v>0</v>
      </c>
      <c r="K598" s="108">
        <f>SUM(K591:K597)</f>
        <v>2491.1999999999998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4726.2299999999996</v>
      </c>
      <c r="I604" s="18"/>
      <c r="J604" s="18"/>
      <c r="K604" s="104">
        <f>SUM(H604:J604)</f>
        <v>4726.2299999999996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4726.2299999999996</v>
      </c>
      <c r="I605" s="108">
        <f>SUM(I602:I604)</f>
        <v>0</v>
      </c>
      <c r="J605" s="108">
        <f>SUM(J602:J604)</f>
        <v>0</v>
      </c>
      <c r="K605" s="108">
        <f>SUM(K602:K604)</f>
        <v>4726.2299999999996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v>560</v>
      </c>
      <c r="G611" s="18">
        <v>142.80000000000001</v>
      </c>
      <c r="H611" s="18" t="s">
        <v>914</v>
      </c>
      <c r="I611" s="18"/>
      <c r="J611" s="18"/>
      <c r="K611" s="18"/>
      <c r="L611" s="88">
        <f>SUM(F611:K611)</f>
        <v>702.8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560</v>
      </c>
      <c r="G614" s="108">
        <f t="shared" si="49"/>
        <v>142.80000000000001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702.8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94499.94</v>
      </c>
      <c r="H617" s="109">
        <f>SUM(F52)</f>
        <v>94499.94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-174.63</v>
      </c>
      <c r="H618" s="109">
        <f>SUM(G52)</f>
        <v>-174.63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16.710000000000036</v>
      </c>
      <c r="H619" s="109">
        <f>SUM(H52)</f>
        <v>16.71</v>
      </c>
      <c r="I619" s="121" t="s">
        <v>887</v>
      </c>
      <c r="J619" s="109">
        <f>G619-H619</f>
        <v>3.5527136788005009E-14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0</v>
      </c>
      <c r="H621" s="109">
        <f>SUM(J52)</f>
        <v>0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88875.61</v>
      </c>
      <c r="H622" s="109">
        <f>F476</f>
        <v>88875.60999999987</v>
      </c>
      <c r="I622" s="121" t="s">
        <v>101</v>
      </c>
      <c r="J622" s="109">
        <f t="shared" ref="J622:J655" si="50">G622-H622</f>
        <v>1.3096723705530167E-10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-174.63</v>
      </c>
      <c r="H623" s="109">
        <f>G476</f>
        <v>-174.62999999999988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0</v>
      </c>
      <c r="H626" s="109">
        <f>J476</f>
        <v>0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1329368.5</v>
      </c>
      <c r="H627" s="104">
        <f>SUM(F468)</f>
        <v>1329368.5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1545.55</v>
      </c>
      <c r="H628" s="104">
        <f>SUM(G468)</f>
        <v>1545.55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19898.09</v>
      </c>
      <c r="H629" s="104">
        <f>SUM(H468)</f>
        <v>19898.09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1303297.5199999998</v>
      </c>
      <c r="H632" s="104">
        <f>SUM(F472)</f>
        <v>1303297.52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19898.09</v>
      </c>
      <c r="H633" s="104">
        <f>SUM(H472)</f>
        <v>19898.09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1864.08</v>
      </c>
      <c r="H634" s="104">
        <f>I369</f>
        <v>1864.08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1864.08</v>
      </c>
      <c r="H635" s="104">
        <f>SUM(G472)</f>
        <v>1864.08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0</v>
      </c>
      <c r="H637" s="164">
        <f>SUM(J468)</f>
        <v>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0</v>
      </c>
      <c r="H642" s="104">
        <f>SUM(I461)</f>
        <v>0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0</v>
      </c>
      <c r="H644" s="104">
        <f>H408</f>
        <v>0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0</v>
      </c>
      <c r="H645" s="104">
        <f>G408</f>
        <v>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0</v>
      </c>
      <c r="H646" s="104">
        <f>L408</f>
        <v>0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2491.1999999999998</v>
      </c>
      <c r="H647" s="104">
        <f>L208+L226+L244</f>
        <v>2491.1999999999998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4726.2299999999996</v>
      </c>
      <c r="H648" s="104">
        <f>(J257+J338)-(J255+J336)</f>
        <v>4726.2299999999996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2491.1999999999998</v>
      </c>
      <c r="H649" s="104">
        <f>H598</f>
        <v>2491.1999999999998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0</v>
      </c>
      <c r="H651" s="104">
        <f>J598</f>
        <v>0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1000</v>
      </c>
      <c r="H652" s="104">
        <f>K263+K345</f>
        <v>1000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0</v>
      </c>
      <c r="H655" s="104">
        <f>K266+K347</f>
        <v>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957874.67999999982</v>
      </c>
      <c r="G660" s="19">
        <f>(L229+L309+L359)</f>
        <v>0</v>
      </c>
      <c r="H660" s="19">
        <f>(L247+L328+L360)</f>
        <v>302276.83999999997</v>
      </c>
      <c r="I660" s="19">
        <f>SUM(F660:H660)</f>
        <v>1260151.5199999998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2491.1999999999998</v>
      </c>
      <c r="G662" s="19">
        <f>(L226+L306)-(J226+J306)</f>
        <v>0</v>
      </c>
      <c r="H662" s="19">
        <f>(L244+L325)-(J244+J325)</f>
        <v>0</v>
      </c>
      <c r="I662" s="19">
        <f>SUM(F662:H662)</f>
        <v>2491.1999999999998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5429.03</v>
      </c>
      <c r="G663" s="199">
        <f>SUM(G575:G587)+SUM(I602:I604)+L612</f>
        <v>0</v>
      </c>
      <c r="H663" s="199">
        <f>SUM(H575:H587)+SUM(J602:J604)+L613</f>
        <v>302276.83999999997</v>
      </c>
      <c r="I663" s="19">
        <f>SUM(F663:H663)</f>
        <v>307705.87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949954.44999999984</v>
      </c>
      <c r="G664" s="19">
        <f>G660-SUM(G661:G663)</f>
        <v>0</v>
      </c>
      <c r="H664" s="19">
        <f>H660-SUM(H661:H663)</f>
        <v>0</v>
      </c>
      <c r="I664" s="19">
        <f>I660-SUM(I661:I663)</f>
        <v>949954.44999999972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22.19</v>
      </c>
      <c r="G665" s="248"/>
      <c r="H665" s="248"/>
      <c r="I665" s="19">
        <f>SUM(F665:H665)</f>
        <v>22.19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42810.02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42810.02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42810.02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42810.02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12" sqref="C1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Waterville Valley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244732.73</v>
      </c>
      <c r="C9" s="229">
        <f>'DOE25'!G197+'DOE25'!G215+'DOE25'!G233+'DOE25'!G276+'DOE25'!G295+'DOE25'!G314</f>
        <v>101328.13</v>
      </c>
    </row>
    <row r="10" spans="1:3" x14ac:dyDescent="0.2">
      <c r="A10" t="s">
        <v>773</v>
      </c>
      <c r="B10" s="240">
        <v>233212.73</v>
      </c>
      <c r="C10" s="240">
        <v>100247.93</v>
      </c>
    </row>
    <row r="11" spans="1:3" x14ac:dyDescent="0.2">
      <c r="A11" t="s">
        <v>774</v>
      </c>
      <c r="B11" s="240"/>
      <c r="C11" s="240"/>
    </row>
    <row r="12" spans="1:3" x14ac:dyDescent="0.2">
      <c r="A12" t="s">
        <v>775</v>
      </c>
      <c r="B12" s="240">
        <v>11520</v>
      </c>
      <c r="C12" s="240">
        <v>1080.2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244732.73</v>
      </c>
      <c r="C13" s="231">
        <f>SUM(C10:C12)</f>
        <v>101328.12999999999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29693.99</v>
      </c>
      <c r="C18" s="229">
        <f>'DOE25'!G198+'DOE25'!G216+'DOE25'!G234+'DOE25'!G277+'DOE25'!G296+'DOE25'!G315</f>
        <v>19890.099999999999</v>
      </c>
    </row>
    <row r="19" spans="1:3" x14ac:dyDescent="0.2">
      <c r="A19" t="s">
        <v>773</v>
      </c>
      <c r="B19" s="240">
        <v>22990</v>
      </c>
      <c r="C19" s="240">
        <v>18754.349999999999</v>
      </c>
    </row>
    <row r="20" spans="1:3" x14ac:dyDescent="0.2">
      <c r="A20" t="s">
        <v>774</v>
      </c>
      <c r="B20" s="240">
        <v>3008.99</v>
      </c>
      <c r="C20" s="240">
        <v>257.89999999999998</v>
      </c>
    </row>
    <row r="21" spans="1:3" x14ac:dyDescent="0.2">
      <c r="A21" t="s">
        <v>775</v>
      </c>
      <c r="B21" s="240">
        <v>3695</v>
      </c>
      <c r="C21" s="240">
        <v>877.85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29693.989999999998</v>
      </c>
      <c r="C22" s="231">
        <f>SUM(C19:C21)</f>
        <v>19890.099999999999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3560</v>
      </c>
      <c r="C36" s="235">
        <f>'DOE25'!G200+'DOE25'!G218+'DOE25'!G236+'DOE25'!G279+'DOE25'!G298+'DOE25'!G317</f>
        <v>890.29</v>
      </c>
    </row>
    <row r="37" spans="1:3" x14ac:dyDescent="0.2">
      <c r="A37" t="s">
        <v>773</v>
      </c>
      <c r="B37" s="240"/>
      <c r="C37" s="240"/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>
        <v>3560</v>
      </c>
      <c r="C39" s="240">
        <v>890.29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3560</v>
      </c>
      <c r="C40" s="231">
        <f>SUM(C37:C39)</f>
        <v>890.29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A46" sqref="A46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Waterville Valley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742109.16999999993</v>
      </c>
      <c r="D5" s="20">
        <f>SUM('DOE25'!L197:L200)+SUM('DOE25'!L215:L218)+SUM('DOE25'!L233:L236)-F5-G5</f>
        <v>738239.0199999999</v>
      </c>
      <c r="E5" s="243"/>
      <c r="F5" s="255">
        <f>SUM('DOE25'!J197:J200)+SUM('DOE25'!J215:J218)+SUM('DOE25'!J233:J236)</f>
        <v>1458.15</v>
      </c>
      <c r="G5" s="53">
        <f>SUM('DOE25'!K197:K200)+SUM('DOE25'!K215:K218)+SUM('DOE25'!K233:K236)</f>
        <v>2412</v>
      </c>
      <c r="H5" s="259"/>
    </row>
    <row r="6" spans="1:9" x14ac:dyDescent="0.2">
      <c r="A6" s="32">
        <v>2100</v>
      </c>
      <c r="B6" t="s">
        <v>795</v>
      </c>
      <c r="C6" s="245">
        <f t="shared" si="0"/>
        <v>22851.98</v>
      </c>
      <c r="D6" s="20">
        <f>'DOE25'!L202+'DOE25'!L220+'DOE25'!L238-F6-G6</f>
        <v>22514.98</v>
      </c>
      <c r="E6" s="243"/>
      <c r="F6" s="255">
        <f>'DOE25'!J202+'DOE25'!J220+'DOE25'!J238</f>
        <v>0</v>
      </c>
      <c r="G6" s="53">
        <f>'DOE25'!K202+'DOE25'!K220+'DOE25'!K238</f>
        <v>337</v>
      </c>
      <c r="H6" s="259"/>
    </row>
    <row r="7" spans="1:9" x14ac:dyDescent="0.2">
      <c r="A7" s="32">
        <v>2200</v>
      </c>
      <c r="B7" t="s">
        <v>828</v>
      </c>
      <c r="C7" s="245">
        <f t="shared" si="0"/>
        <v>38613.1</v>
      </c>
      <c r="D7" s="20">
        <f>'DOE25'!L203+'DOE25'!L221+'DOE25'!L239-F7-G7</f>
        <v>38613.1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55203.83</v>
      </c>
      <c r="D8" s="243"/>
      <c r="E8" s="20">
        <f>'DOE25'!L204+'DOE25'!L222+'DOE25'!L240-F8-G8-D9-D11</f>
        <v>53267.19</v>
      </c>
      <c r="F8" s="255">
        <f>'DOE25'!J204+'DOE25'!J222+'DOE25'!J240</f>
        <v>0</v>
      </c>
      <c r="G8" s="53">
        <f>'DOE25'!K204+'DOE25'!K222+'DOE25'!K240</f>
        <v>1936.64</v>
      </c>
      <c r="H8" s="259"/>
    </row>
    <row r="9" spans="1:9" x14ac:dyDescent="0.2">
      <c r="A9" s="32">
        <v>2310</v>
      </c>
      <c r="B9" t="s">
        <v>812</v>
      </c>
      <c r="C9" s="245">
        <f t="shared" si="0"/>
        <v>12854.69</v>
      </c>
      <c r="D9" s="244">
        <v>12854.69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5600</v>
      </c>
      <c r="D10" s="243"/>
      <c r="E10" s="244">
        <v>5600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37275.17</v>
      </c>
      <c r="D11" s="244">
        <v>37275.17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164403.03</v>
      </c>
      <c r="D12" s="20">
        <f>'DOE25'!L205+'DOE25'!L223+'DOE25'!L241-F12-G12</f>
        <v>155106.78</v>
      </c>
      <c r="E12" s="243"/>
      <c r="F12" s="255">
        <f>'DOE25'!J205+'DOE25'!J223+'DOE25'!J241</f>
        <v>0</v>
      </c>
      <c r="G12" s="53">
        <f>'DOE25'!K205+'DOE25'!K223+'DOE25'!K241</f>
        <v>9296.25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162587.17999999996</v>
      </c>
      <c r="D14" s="20">
        <f>'DOE25'!L207+'DOE25'!L225+'DOE25'!L243-F14-G14</f>
        <v>159319.09999999998</v>
      </c>
      <c r="E14" s="243"/>
      <c r="F14" s="255">
        <f>'DOE25'!J207+'DOE25'!J225+'DOE25'!J243</f>
        <v>3268.08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2491.1999999999998</v>
      </c>
      <c r="D15" s="20">
        <f>'DOE25'!L208+'DOE25'!L226+'DOE25'!L244-F15-G15</f>
        <v>2491.1999999999998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63908.17</v>
      </c>
      <c r="D22" s="243"/>
      <c r="E22" s="243"/>
      <c r="F22" s="255">
        <f>'DOE25'!L255+'DOE25'!L336</f>
        <v>63908.17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19898.09</v>
      </c>
      <c r="D31" s="20">
        <f>'DOE25'!L290+'DOE25'!L309+'DOE25'!L328+'DOE25'!L333+'DOE25'!L334+'DOE25'!L335-F31-G31</f>
        <v>14686.630000000001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5211.4599999999991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1181100.6699999997</v>
      </c>
      <c r="E33" s="246">
        <f>SUM(E5:E31)</f>
        <v>58867.19</v>
      </c>
      <c r="F33" s="246">
        <f>SUM(F5:F31)</f>
        <v>68634.399999999994</v>
      </c>
      <c r="G33" s="246">
        <f>SUM(G5:G31)</f>
        <v>19193.349999999999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58867.19</v>
      </c>
      <c r="E35" s="249"/>
    </row>
    <row r="36" spans="2:8" ht="12" thickTop="1" x14ac:dyDescent="0.2">
      <c r="B36" t="s">
        <v>809</v>
      </c>
      <c r="D36" s="20">
        <f>D33</f>
        <v>1181100.6699999997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122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Waterville Valley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94499.94</v>
      </c>
      <c r="D8" s="95">
        <f>'DOE25'!G9</f>
        <v>-174.63</v>
      </c>
      <c r="E8" s="95">
        <f>'DOE25'!H9</f>
        <v>-673.03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689.74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94499.94</v>
      </c>
      <c r="D18" s="41">
        <f>SUM(D8:D17)</f>
        <v>-174.63</v>
      </c>
      <c r="E18" s="41">
        <f>SUM(E8:E17)</f>
        <v>16.710000000000036</v>
      </c>
      <c r="F18" s="41">
        <f>SUM(F8:F17)</f>
        <v>0</v>
      </c>
      <c r="G18" s="41">
        <f>SUM(G8:G17)</f>
        <v>0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5624.33</v>
      </c>
      <c r="D23" s="95">
        <f>'DOE25'!G24</f>
        <v>0</v>
      </c>
      <c r="E23" s="95">
        <f>'DOE25'!H24</f>
        <v>16.71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5624.33</v>
      </c>
      <c r="D31" s="41">
        <f>SUM(D21:D30)</f>
        <v>0</v>
      </c>
      <c r="E31" s="41">
        <f>SUM(E21:E30)</f>
        <v>16.71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42983</v>
      </c>
      <c r="D44" s="95">
        <f>'DOE25'!G45</f>
        <v>0</v>
      </c>
      <c r="E44" s="95">
        <f>'DOE25'!H45</f>
        <v>62.1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-174.63</v>
      </c>
      <c r="E47" s="95">
        <f>'DOE25'!H48</f>
        <v>-62.1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45892.61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88875.61</v>
      </c>
      <c r="D50" s="41">
        <f>SUM(D34:D49)</f>
        <v>-174.63</v>
      </c>
      <c r="E50" s="41">
        <f>SUM(E34:E49)</f>
        <v>0</v>
      </c>
      <c r="F50" s="41">
        <f>SUM(F34:F49)</f>
        <v>0</v>
      </c>
      <c r="G50" s="41">
        <f>SUM(G34:G49)</f>
        <v>0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94499.94</v>
      </c>
      <c r="D51" s="41">
        <f>D50+D31</f>
        <v>-174.63</v>
      </c>
      <c r="E51" s="41">
        <f>E50+E31</f>
        <v>16.71</v>
      </c>
      <c r="F51" s="41">
        <f>F50+F31</f>
        <v>0</v>
      </c>
      <c r="G51" s="41">
        <f>G50+G31</f>
        <v>0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499313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15022.23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12.78</v>
      </c>
      <c r="D59" s="95">
        <f>'DOE25'!G96</f>
        <v>545.54999999999995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0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1881.01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16916.02</v>
      </c>
      <c r="D62" s="130">
        <f>SUM(D57:D61)</f>
        <v>545.54999999999995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516229.02</v>
      </c>
      <c r="D63" s="22">
        <f>D56+D62</f>
        <v>545.54999999999995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0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793879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793879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0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793879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0</v>
      </c>
      <c r="D88" s="95">
        <f>SUM('DOE25'!G153:G161)</f>
        <v>0</v>
      </c>
      <c r="E88" s="95">
        <f>SUM('DOE25'!H153:H161)</f>
        <v>19898.09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19260.48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19260.48</v>
      </c>
      <c r="D91" s="131">
        <f>SUM(D85:D90)</f>
        <v>0</v>
      </c>
      <c r="E91" s="131">
        <f>SUM(E85:E90)</f>
        <v>19898.09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1000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1000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759</v>
      </c>
      <c r="C104" s="86">
        <f>C63+C81+C91+C103</f>
        <v>1329368.5</v>
      </c>
      <c r="D104" s="86">
        <f>D63+D81+D91+D103</f>
        <v>1545.55</v>
      </c>
      <c r="E104" s="86">
        <f>E63+E81+E91+E103</f>
        <v>19898.09</v>
      </c>
      <c r="F104" s="86">
        <f>F63+F81+F91+F103</f>
        <v>0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560611.24</v>
      </c>
      <c r="D109" s="24" t="s">
        <v>286</v>
      </c>
      <c r="E109" s="95">
        <f>('DOE25'!L276)+('DOE25'!L295)+('DOE25'!L314)</f>
        <v>5172.9799999999996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177047.64</v>
      </c>
      <c r="D110" s="24" t="s">
        <v>286</v>
      </c>
      <c r="E110" s="95">
        <f>('DOE25'!L277)+('DOE25'!L296)+('DOE25'!L315)</f>
        <v>0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4450.29</v>
      </c>
      <c r="D112" s="24" t="s">
        <v>286</v>
      </c>
      <c r="E112" s="95">
        <f>+('DOE25'!L279)+('DOE25'!L298)+('DOE25'!L317)</f>
        <v>12884.28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742109.17</v>
      </c>
      <c r="D115" s="86">
        <f>SUM(D109:D114)</f>
        <v>0</v>
      </c>
      <c r="E115" s="86">
        <f>SUM(E109:E114)</f>
        <v>18057.260000000002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22851.98</v>
      </c>
      <c r="D118" s="24" t="s">
        <v>286</v>
      </c>
      <c r="E118" s="95">
        <f>+('DOE25'!L281)+('DOE25'!L300)+('DOE25'!L319)</f>
        <v>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38613.1</v>
      </c>
      <c r="D119" s="24" t="s">
        <v>286</v>
      </c>
      <c r="E119" s="95">
        <f>+('DOE25'!L282)+('DOE25'!L301)+('DOE25'!L320)</f>
        <v>1802.35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105333.69</v>
      </c>
      <c r="D120" s="24" t="s">
        <v>286</v>
      </c>
      <c r="E120" s="95">
        <f>+('DOE25'!L283)+('DOE25'!L302)+('DOE25'!L321)</f>
        <v>38.479999999999997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164403.03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162587.17999999996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2491.1999999999998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1864.08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496280.18</v>
      </c>
      <c r="D128" s="86">
        <f>SUM(D118:D127)</f>
        <v>1864.08</v>
      </c>
      <c r="E128" s="86">
        <f>SUM(E118:E127)</f>
        <v>1840.83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63908.17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1000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0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64908.17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1303297.52</v>
      </c>
      <c r="D145" s="86">
        <f>(D115+D128+D144)</f>
        <v>1864.08</v>
      </c>
      <c r="E145" s="86">
        <f>(E115+E128+E144)</f>
        <v>19898.090000000004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Waterville Valley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42810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42810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565784</v>
      </c>
      <c r="D10" s="182">
        <f>ROUND((C10/$C$28)*100,1)</f>
        <v>44.9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177048</v>
      </c>
      <c r="D11" s="182">
        <f>ROUND((C11/$C$28)*100,1)</f>
        <v>14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17335</v>
      </c>
      <c r="D13" s="182">
        <f>ROUND((C13/$C$28)*100,1)</f>
        <v>1.4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22852</v>
      </c>
      <c r="D15" s="182">
        <f t="shared" ref="D15:D27" si="0">ROUND((C15/$C$28)*100,1)</f>
        <v>1.8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40415</v>
      </c>
      <c r="D16" s="182">
        <f t="shared" si="0"/>
        <v>3.2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105372</v>
      </c>
      <c r="D17" s="182">
        <f t="shared" si="0"/>
        <v>8.4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164403</v>
      </c>
      <c r="D18" s="182">
        <f t="shared" si="0"/>
        <v>13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162587</v>
      </c>
      <c r="D20" s="182">
        <f t="shared" si="0"/>
        <v>12.9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2491</v>
      </c>
      <c r="D21" s="182">
        <f t="shared" si="0"/>
        <v>0.2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1864</v>
      </c>
      <c r="D27" s="182">
        <f t="shared" si="0"/>
        <v>0.1</v>
      </c>
    </row>
    <row r="28" spans="1:4" x14ac:dyDescent="0.2">
      <c r="B28" s="187" t="s">
        <v>717</v>
      </c>
      <c r="C28" s="180">
        <f>SUM(C10:C27)</f>
        <v>1260151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63908</v>
      </c>
    </row>
    <row r="30" spans="1:4" x14ac:dyDescent="0.2">
      <c r="B30" s="187" t="s">
        <v>723</v>
      </c>
      <c r="C30" s="180">
        <f>SUM(C28:C29)</f>
        <v>1324059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499313</v>
      </c>
      <c r="D35" s="182">
        <f t="shared" ref="D35:D40" si="1">ROUND((C35/$C$41)*100,1)</f>
        <v>37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17461.569999999949</v>
      </c>
      <c r="D36" s="182">
        <f t="shared" si="1"/>
        <v>1.3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793879</v>
      </c>
      <c r="D37" s="182">
        <f t="shared" si="1"/>
        <v>58.8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39159</v>
      </c>
      <c r="D39" s="182">
        <f t="shared" si="1"/>
        <v>2.9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1349812.5699999998</v>
      </c>
      <c r="D41" s="184">
        <f>SUM(D35:D40)</f>
        <v>100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4" sqref="C4:M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Waterville Valley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>
        <v>19</v>
      </c>
      <c r="B4" s="219">
        <v>6</v>
      </c>
      <c r="C4" s="285" t="s">
        <v>913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2018-08-14T15:51:58Z</cp:lastPrinted>
  <dcterms:created xsi:type="dcterms:W3CDTF">1997-12-04T19:04:30Z</dcterms:created>
  <dcterms:modified xsi:type="dcterms:W3CDTF">2018-11-30T17:46:09Z</dcterms:modified>
</cp:coreProperties>
</file>