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D5" i="13" s="1"/>
  <c r="C5" i="13" s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D14" i="13" s="1"/>
  <c r="C14" i="13" s="1"/>
  <c r="L243" i="1"/>
  <c r="F15" i="13"/>
  <c r="G15" i="13"/>
  <c r="L208" i="1"/>
  <c r="L226" i="1"/>
  <c r="G650" i="1" s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E111" i="2" s="1"/>
  <c r="L279" i="1"/>
  <c r="E112" i="2" s="1"/>
  <c r="L281" i="1"/>
  <c r="E118" i="2" s="1"/>
  <c r="L282" i="1"/>
  <c r="E119" i="2" s="1"/>
  <c r="L283" i="1"/>
  <c r="E120" i="2" s="1"/>
  <c r="L284" i="1"/>
  <c r="E121" i="2" s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E123" i="2" s="1"/>
  <c r="L306" i="1"/>
  <c r="E124" i="2" s="1"/>
  <c r="L307" i="1"/>
  <c r="E125" i="2" s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E114" i="2" s="1"/>
  <c r="L260" i="1"/>
  <c r="L261" i="1"/>
  <c r="C25" i="10" s="1"/>
  <c r="L341" i="1"/>
  <c r="L342" i="1"/>
  <c r="L255" i="1"/>
  <c r="C130" i="2" s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D85" i="2" s="1"/>
  <c r="G162" i="1"/>
  <c r="H147" i="1"/>
  <c r="H162" i="1"/>
  <c r="I147" i="1"/>
  <c r="I162" i="1"/>
  <c r="C10" i="10"/>
  <c r="C11" i="10"/>
  <c r="C12" i="10"/>
  <c r="C13" i="10"/>
  <c r="C15" i="10"/>
  <c r="L250" i="1"/>
  <c r="L332" i="1"/>
  <c r="L254" i="1"/>
  <c r="L268" i="1"/>
  <c r="L269" i="1"/>
  <c r="L349" i="1"/>
  <c r="L350" i="1"/>
  <c r="E143" i="2" s="1"/>
  <c r="I665" i="1"/>
  <c r="I670" i="1"/>
  <c r="L247" i="1"/>
  <c r="F661" i="1"/>
  <c r="G661" i="1"/>
  <c r="H661" i="1"/>
  <c r="F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K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C73" i="2"/>
  <c r="F73" i="2"/>
  <c r="C74" i="2"/>
  <c r="C75" i="2"/>
  <c r="C76" i="2"/>
  <c r="E76" i="2"/>
  <c r="E78" i="2" s="1"/>
  <c r="E81" i="2" s="1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3" i="2"/>
  <c r="E113" i="2"/>
  <c r="C114" i="2"/>
  <c r="D115" i="2"/>
  <c r="F115" i="2"/>
  <c r="G115" i="2"/>
  <c r="C119" i="2"/>
  <c r="C125" i="2"/>
  <c r="D127" i="2"/>
  <c r="D128" i="2" s="1"/>
  <c r="F128" i="2"/>
  <c r="G128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G338" i="1" s="1"/>
  <c r="G352" i="1" s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F461" i="1"/>
  <c r="G461" i="1"/>
  <c r="H461" i="1"/>
  <c r="I461" i="1"/>
  <c r="H642" i="1" s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J545" i="1" s="1"/>
  <c r="K529" i="1"/>
  <c r="L529" i="1"/>
  <c r="F534" i="1"/>
  <c r="G534" i="1"/>
  <c r="G545" i="1" s="1"/>
  <c r="H534" i="1"/>
  <c r="I534" i="1"/>
  <c r="J534" i="1"/>
  <c r="K534" i="1"/>
  <c r="F539" i="1"/>
  <c r="G539" i="1"/>
  <c r="H539" i="1"/>
  <c r="H545" i="1" s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H571" i="1" s="1"/>
  <c r="I565" i="1"/>
  <c r="I571" i="1" s="1"/>
  <c r="J565" i="1"/>
  <c r="J571" i="1" s="1"/>
  <c r="K565" i="1"/>
  <c r="L567" i="1"/>
  <c r="L568" i="1"/>
  <c r="L569" i="1"/>
  <c r="F570" i="1"/>
  <c r="G570" i="1"/>
  <c r="H570" i="1"/>
  <c r="I570" i="1"/>
  <c r="J570" i="1"/>
  <c r="K570" i="1"/>
  <c r="K571" i="1" s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J636" i="1" s="1"/>
  <c r="H637" i="1"/>
  <c r="H638" i="1"/>
  <c r="G639" i="1"/>
  <c r="H639" i="1"/>
  <c r="G640" i="1"/>
  <c r="H640" i="1"/>
  <c r="G641" i="1"/>
  <c r="H641" i="1"/>
  <c r="G643" i="1"/>
  <c r="J643" i="1" s="1"/>
  <c r="H643" i="1"/>
  <c r="G644" i="1"/>
  <c r="G645" i="1"/>
  <c r="G651" i="1"/>
  <c r="G652" i="1"/>
  <c r="H652" i="1"/>
  <c r="G653" i="1"/>
  <c r="H653" i="1"/>
  <c r="G654" i="1"/>
  <c r="H654" i="1"/>
  <c r="H655" i="1"/>
  <c r="J655" i="1" s="1"/>
  <c r="F192" i="1"/>
  <c r="L256" i="1"/>
  <c r="C26" i="10"/>
  <c r="L328" i="1"/>
  <c r="H660" i="1" s="1"/>
  <c r="L351" i="1"/>
  <c r="D12" i="13"/>
  <c r="C12" i="13" s="1"/>
  <c r="D62" i="2"/>
  <c r="D18" i="13"/>
  <c r="C18" i="13" s="1"/>
  <c r="D17" i="13"/>
  <c r="C17" i="13" s="1"/>
  <c r="D50" i="2"/>
  <c r="G157" i="2"/>
  <c r="G156" i="2"/>
  <c r="G62" i="2"/>
  <c r="D29" i="13"/>
  <c r="C29" i="13" s="1"/>
  <c r="D19" i="13"/>
  <c r="C19" i="13" s="1"/>
  <c r="J641" i="1"/>
  <c r="J639" i="1"/>
  <c r="L433" i="1"/>
  <c r="L419" i="1"/>
  <c r="D81" i="2"/>
  <c r="G552" i="1"/>
  <c r="J476" i="1"/>
  <c r="H626" i="1" s="1"/>
  <c r="H476" i="1"/>
  <c r="H624" i="1" s="1"/>
  <c r="F476" i="1"/>
  <c r="H622" i="1" s="1"/>
  <c r="I476" i="1"/>
  <c r="H625" i="1" s="1"/>
  <c r="J625" i="1" s="1"/>
  <c r="G476" i="1"/>
  <c r="H623" i="1" s="1"/>
  <c r="J140" i="1"/>
  <c r="I552" i="1"/>
  <c r="K545" i="1"/>
  <c r="C29" i="10"/>
  <c r="H140" i="1"/>
  <c r="F22" i="13"/>
  <c r="C22" i="13" s="1"/>
  <c r="H25" i="13"/>
  <c r="C25" i="13" s="1"/>
  <c r="J651" i="1"/>
  <c r="L560" i="1"/>
  <c r="F338" i="1"/>
  <c r="F352" i="1" s="1"/>
  <c r="H192" i="1"/>
  <c r="F552" i="1"/>
  <c r="L570" i="1"/>
  <c r="I545" i="1"/>
  <c r="G36" i="2"/>
  <c r="K551" i="1"/>
  <c r="H552" i="1" l="1"/>
  <c r="L534" i="1"/>
  <c r="K500" i="1"/>
  <c r="A40" i="12"/>
  <c r="K605" i="1"/>
  <c r="G648" i="1" s="1"/>
  <c r="L565" i="1"/>
  <c r="L524" i="1"/>
  <c r="J552" i="1"/>
  <c r="L544" i="1"/>
  <c r="L539" i="1"/>
  <c r="L545" i="1" s="1"/>
  <c r="K550" i="1"/>
  <c r="K552" i="1" s="1"/>
  <c r="J644" i="1"/>
  <c r="J640" i="1"/>
  <c r="L401" i="1"/>
  <c r="C139" i="2" s="1"/>
  <c r="J645" i="1"/>
  <c r="I369" i="1"/>
  <c r="H634" i="1" s="1"/>
  <c r="J634" i="1" s="1"/>
  <c r="H338" i="1"/>
  <c r="H352" i="1" s="1"/>
  <c r="H664" i="1"/>
  <c r="L309" i="1"/>
  <c r="C16" i="10"/>
  <c r="E128" i="2"/>
  <c r="E115" i="2"/>
  <c r="L290" i="1"/>
  <c r="H33" i="13"/>
  <c r="K257" i="1"/>
  <c r="K271" i="1" s="1"/>
  <c r="G662" i="1"/>
  <c r="I662" i="1" s="1"/>
  <c r="C21" i="10"/>
  <c r="C20" i="10"/>
  <c r="C19" i="10"/>
  <c r="C18" i="10"/>
  <c r="C17" i="10"/>
  <c r="D6" i="13"/>
  <c r="C6" i="13" s="1"/>
  <c r="L229" i="1"/>
  <c r="C112" i="2"/>
  <c r="A31" i="12"/>
  <c r="C111" i="2"/>
  <c r="C110" i="2"/>
  <c r="J257" i="1"/>
  <c r="J271" i="1" s="1"/>
  <c r="I257" i="1"/>
  <c r="I271" i="1" s="1"/>
  <c r="H257" i="1"/>
  <c r="H271" i="1" s="1"/>
  <c r="G257" i="1"/>
  <c r="G271" i="1" s="1"/>
  <c r="C109" i="2"/>
  <c r="C115" i="2" s="1"/>
  <c r="F257" i="1"/>
  <c r="F271" i="1" s="1"/>
  <c r="E16" i="13"/>
  <c r="C16" i="13" s="1"/>
  <c r="D7" i="13"/>
  <c r="C7" i="13" s="1"/>
  <c r="G649" i="1"/>
  <c r="J649" i="1" s="1"/>
  <c r="H647" i="1"/>
  <c r="J647" i="1" s="1"/>
  <c r="D15" i="13"/>
  <c r="C15" i="13" s="1"/>
  <c r="C118" i="2"/>
  <c r="C124" i="2"/>
  <c r="C123" i="2"/>
  <c r="E13" i="13"/>
  <c r="C13" i="13" s="1"/>
  <c r="C122" i="2"/>
  <c r="C121" i="2"/>
  <c r="E8" i="13"/>
  <c r="C8" i="13" s="1"/>
  <c r="C120" i="2"/>
  <c r="L211" i="1"/>
  <c r="F660" i="1" s="1"/>
  <c r="I169" i="1"/>
  <c r="F85" i="2"/>
  <c r="F81" i="2"/>
  <c r="E103" i="2"/>
  <c r="H169" i="1"/>
  <c r="E85" i="2"/>
  <c r="E62" i="2"/>
  <c r="E63" i="2" s="1"/>
  <c r="H112" i="1"/>
  <c r="H193" i="1" s="1"/>
  <c r="G629" i="1" s="1"/>
  <c r="J629" i="1" s="1"/>
  <c r="C35" i="10"/>
  <c r="G192" i="1"/>
  <c r="D91" i="2"/>
  <c r="I661" i="1"/>
  <c r="D63" i="2"/>
  <c r="F169" i="1"/>
  <c r="C85" i="2"/>
  <c r="C91" i="2" s="1"/>
  <c r="C78" i="2"/>
  <c r="C70" i="2"/>
  <c r="C81" i="2"/>
  <c r="F112" i="1"/>
  <c r="C62" i="2"/>
  <c r="C56" i="2"/>
  <c r="I52" i="1"/>
  <c r="H620" i="1" s="1"/>
  <c r="J624" i="1"/>
  <c r="E31" i="2"/>
  <c r="H52" i="1"/>
  <c r="H619" i="1" s="1"/>
  <c r="J619" i="1" s="1"/>
  <c r="J623" i="1"/>
  <c r="D31" i="2"/>
  <c r="D18" i="2"/>
  <c r="J622" i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A22" i="12"/>
  <c r="H646" i="1"/>
  <c r="G50" i="2"/>
  <c r="G51" i="2" s="1"/>
  <c r="J652" i="1"/>
  <c r="J642" i="1"/>
  <c r="G571" i="1"/>
  <c r="I434" i="1"/>
  <c r="G434" i="1"/>
  <c r="I663" i="1"/>
  <c r="C27" i="10"/>
  <c r="G635" i="1"/>
  <c r="J635" i="1" s="1"/>
  <c r="E104" i="2" l="1"/>
  <c r="D31" i="13"/>
  <c r="C31" i="13" s="1"/>
  <c r="F33" i="13"/>
  <c r="C28" i="10"/>
  <c r="D22" i="10" s="1"/>
  <c r="H648" i="1"/>
  <c r="J648" i="1" s="1"/>
  <c r="C128" i="2"/>
  <c r="C145" i="2" s="1"/>
  <c r="E33" i="13"/>
  <c r="D35" i="13" s="1"/>
  <c r="L257" i="1"/>
  <c r="L271" i="1" s="1"/>
  <c r="G632" i="1" s="1"/>
  <c r="J632" i="1" s="1"/>
  <c r="F664" i="1"/>
  <c r="F667" i="1" s="1"/>
  <c r="I660" i="1"/>
  <c r="I664" i="1" s="1"/>
  <c r="I672" i="1" s="1"/>
  <c r="C7" i="10" s="1"/>
  <c r="G104" i="2"/>
  <c r="I193" i="1"/>
  <c r="G630" i="1" s="1"/>
  <c r="J630" i="1" s="1"/>
  <c r="F104" i="2"/>
  <c r="G672" i="1"/>
  <c r="C5" i="10" s="1"/>
  <c r="C63" i="2"/>
  <c r="C104" i="2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7" i="10" l="1"/>
  <c r="D10" i="10"/>
  <c r="D26" i="10"/>
  <c r="D20" i="10"/>
  <c r="D13" i="10"/>
  <c r="D18" i="10"/>
  <c r="D15" i="10"/>
  <c r="D11" i="10"/>
  <c r="D17" i="10"/>
  <c r="C30" i="10"/>
  <c r="D25" i="10"/>
  <c r="D21" i="10"/>
  <c r="D12" i="10"/>
  <c r="D16" i="10"/>
  <c r="D19" i="10"/>
  <c r="F672" i="1"/>
  <c r="C4" i="10" s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<sst xmlns="http://schemas.openxmlformats.org/spreadsheetml/2006/main" count="3962" uniqueCount="918">
  <si>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</si>
  <si>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</si>
  <si>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</si>
  <si>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</si>
  <si>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</si>
  <si>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</si>
  <si>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</si>
  <si>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</si>
  <si>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</si>
  <si>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</si>
  <si>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</si>
  <si>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</si>
  <si>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</si>
  <si>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</si>
  <si>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</si>
  <si>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</si>
  <si>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</si>
  <si>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</si>
  <si>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</si>
  <si>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</si>
  <si>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</si>
  <si>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</si>
  <si>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</si>
  <si>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</si>
  <si>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</si>
  <si>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</si>
  <si>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</si>
  <si>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</si>
  <si>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</si>
  <si>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</si>
  <si>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</si>
  <si>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</si>
  <si>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</si>
  <si>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</si>
  <si>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</si>
  <si>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</si>
  <si>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</si>
  <si>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</si>
  <si>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</si>
  <si>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</si>
  <si>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</si>
  <si>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</si>
  <si>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</si>
  <si>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</si>
  <si>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</si>
  <si>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</si>
  <si>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</si>
  <si>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</si>
  <si>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</si>
  <si>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</si>
  <si>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</si>
  <si>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</si>
  <si>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</si>
  <si>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</si>
  <si>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</si>
  <si>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</si>
  <si>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</si>
  <si>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</si>
  <si>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</si>
  <si>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</si>
  <si>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</si>
  <si>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</si>
  <si>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</si>
  <si>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</si>
  <si>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</si>
  <si>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</si>
  <si>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</si>
  <si>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</si>
  <si>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</si>
  <si>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</si>
  <si>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</si>
  <si>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</si>
  <si>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</si>
  <si>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</si>
  <si>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</si>
  <si>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</si>
  <si>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</si>
  <si>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</si>
  <si>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</si>
  <si>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</si>
  <si>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</si>
  <si>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</si>
  <si>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</si>
  <si>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</si>
  <si>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</si>
  <si>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</si>
  <si>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</si>
  <si>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</si>
  <si>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</si>
  <si>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</si>
  <si>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</si>
  <si>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</si>
  <si>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</si>
  <si>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</si>
  <si>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</si>
  <si>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</si>
  <si>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</si>
  <si>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</si>
  <si>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</si>
  <si>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</si>
  <si>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</si>
  <si>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</si>
  <si>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</si>
  <si>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</si>
  <si>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</si>
  <si>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</si>
  <si>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</si>
  <si>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</si>
  <si>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</si>
  <si>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</si>
  <si>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</si>
  <si>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</si>
  <si>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</si>
  <si>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</si>
  <si>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</si>
  <si>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</si>
  <si>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</si>
  <si>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</si>
  <si>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</si>
  <si>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</si>
  <si>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</si>
  <si>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</si>
  <si>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</si>
  <si>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</si>
  <si>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</si>
  <si>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</si>
  <si>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</si>
  <si>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</si>
  <si>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</si>
  <si>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</si>
  <si>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</si>
  <si>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</si>
  <si>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</si>
  <si>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</si>
  <si>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</si>
  <si>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</si>
  <si>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</si>
  <si>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</si>
  <si>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</si>
  <si>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</si>
  <si>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</si>
  <si>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</si>
  <si>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</si>
  <si>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</si>
  <si>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</si>
  <si>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</si>
  <si>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</si>
  <si>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</si>
  <si>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</si>
  <si>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</si>
  <si>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</si>
  <si>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</si>
  <si>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</si>
  <si>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</si>
  <si>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</si>
  <si>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</si>
  <si>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</si>
  <si>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</si>
  <si>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</si>
  <si>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</si>
  <si>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</si>
  <si>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</si>
  <si>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</si>
  <si>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</si>
  <si>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</si>
  <si>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</si>
  <si>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</si>
  <si>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</si>
  <si>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</si>
  <si>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</si>
  <si>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</si>
  <si>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</si>
  <si>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</si>
  <si>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</si>
  <si>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</si>
  <si>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</si>
  <si>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</si>
  <si>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</si>
  <si>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</si>
  <si>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</si>
  <si>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</si>
  <si>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</si>
  <si>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</si>
  <si>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</si>
  <si>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</si>
  <si>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</si>
  <si>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</si>
  <si>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</si>
  <si>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</si>
  <si>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</si>
  <si>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</si>
  <si>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</si>
  <si>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</si>
  <si>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</si>
  <si>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</si>
  <si>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</si>
  <si>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</si>
  <si>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</si>
  <si>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</si>
  <si>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</si>
  <si>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</si>
  <si>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</si>
  <si>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</si>
  <si>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</si>
  <si>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</si>
  <si>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</si>
  <si>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</si>
  <si>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</si>
  <si>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</si>
  <si>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</si>
  <si>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</si>
  <si>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</si>
  <si>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</si>
  <si>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</si>
  <si>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</si>
  <si>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</si>
  <si>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</si>
  <si>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</si>
  <si>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</si>
  <si>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</si>
  <si>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</si>
  <si>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</si>
  <si>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</si>
  <si>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</si>
  <si>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</si>
  <si>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</si>
  <si>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</si>
  <si>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</si>
  <si>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</si>
  <si>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</si>
  <si>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</si>
  <si>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</si>
  <si>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</si>
  <si>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</si>
  <si>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</si>
  <si>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</si>
  <si>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</si>
  <si>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</si>
  <si>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</si>
  <si>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</si>
  <si>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</si>
  <si>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</si>
  <si>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</si>
  <si>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</si>
  <si>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</si>
  <si>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</si>
  <si>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</si>
  <si>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</si>
  <si>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</si>
  <si>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</si>
  <si>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</si>
  <si>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</si>
  <si>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</si>
  <si>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</si>
  <si>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</si>
  <si>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</si>
  <si>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</si>
  <si>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</si>
  <si>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</si>
  <si>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</si>
  <si>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</si>
  <si>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</si>
  <si>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</si>
  <si>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</si>
  <si>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</si>
  <si>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</si>
  <si>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</si>
  <si>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</si>
  <si>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</si>
  <si>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</si>
  <si>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</si>
  <si>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</si>
  <si>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</si>
  <si>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</si>
  <si>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</si>
  <si>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</si>
  <si>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</si>
  <si>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</si>
  <si>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</si>
  <si>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</si>
  <si>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</si>
  <si>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</si>
  <si>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</si>
  <si>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</si>
  <si>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</si>
  <si>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</si>
  <si>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</si>
  <si>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</si>
  <si>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</si>
  <si>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</si>
  <si>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</si>
  <si>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</si>
  <si>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</si>
  <si>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</si>
  <si>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</si>
  <si>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</si>
  <si>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</si>
  <si>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</si>
  <si>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</si>
  <si>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</si>
  <si>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</si>
  <si>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</si>
  <si>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</si>
  <si>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</si>
  <si>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</si>
  <si>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</si>
  <si>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</si>
  <si>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</si>
  <si>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</si>
  <si>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</si>
  <si>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</si>
  <si>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</si>
  <si>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</si>
  <si>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</si>
  <si>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</si>
  <si>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</si>
  <si>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</si>
  <si>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</si>
  <si>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</si>
  <si>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</si>
  <si>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</si>
  <si>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</si>
  <si>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</si>
  <si>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</si>
  <si>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</si>
  <si>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</si>
  <si>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</si>
  <si>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</si>
  <si>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</si>
  <si>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</si>
  <si>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</si>
  <si>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</si>
  <si>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</si>
  <si>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</si>
  <si>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</si>
  <si>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</si>
  <si>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</si>
  <si>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</si>
  <si>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</si>
  <si>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</si>
  <si>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</si>
  <si>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</si>
  <si>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</si>
  <si>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</si>
  <si>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</si>
  <si>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</si>
  <si>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</si>
  <si>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</si>
  <si>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</si>
  <si>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</si>
  <si>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</si>
  <si>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</si>
  <si>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</si>
  <si>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</si>
  <si>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</si>
  <si>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</si>
  <si>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</si>
  <si>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</si>
  <si>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</si>
  <si>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</si>
  <si>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</si>
  <si>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</si>
  <si>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</si>
  <si>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</si>
  <si>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</si>
  <si>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</si>
  <si>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</si>
  <si>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</si>
  <si>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</si>
  <si>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</si>
  <si>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</si>
  <si>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</si>
  <si>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</si>
  <si>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</si>
  <si>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</si>
  <si>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</si>
  <si>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</si>
  <si>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</si>
  <si>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</si>
  <si>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</si>
  <si>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</si>
  <si>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</si>
  <si>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</si>
  <si>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</si>
  <si>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</si>
  <si>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</si>
  <si>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</si>
  <si>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</si>
  <si>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</si>
  <si>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</si>
  <si>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</si>
  <si>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</si>
  <si>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</si>
  <si>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</si>
  <si>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</si>
  <si>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</si>
  <si>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</si>
  <si>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</si>
  <si>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</si>
  <si>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</si>
  <si>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</si>
  <si>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</si>
  <si>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</si>
  <si>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</si>
  <si>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</si>
  <si>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</si>
  <si>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</si>
  <si>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</si>
  <si>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</si>
  <si>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</si>
  <si>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</si>
  <si>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</si>
  <si>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</si>
  <si>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</si>
  <si>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</si>
  <si>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</si>
  <si>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</si>
  <si>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</si>
  <si>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</si>
  <si>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</si>
  <si>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</si>
  <si>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</si>
  <si>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</si>
  <si>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</si>
  <si>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</si>
  <si>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</si>
  <si>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</si>
  <si>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</si>
  <si>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</si>
  <si>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</si>
  <si>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</si>
  <si>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</si>
  <si>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</si>
  <si>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</si>
  <si>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</si>
  <si>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</si>
  <si>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</si>
  <si>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</si>
  <si>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</si>
  <si>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</si>
  <si>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</si>
  <si>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</si>
  <si>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</si>
  <si>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</si>
  <si>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</si>
  <si>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</si>
  <si>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</si>
  <si>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</si>
  <si>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</si>
  <si>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</si>
  <si>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</si>
  <si>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</si>
  <si>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</si>
  <si>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</si>
  <si>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</si>
  <si>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</si>
  <si>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</si>
  <si>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</si>
  <si>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</si>
  <si>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</si>
  <si>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</si>
  <si>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</si>
  <si>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</si>
  <si>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</si>
  <si>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</si>
  <si>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</si>
  <si>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</si>
  <si>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</si>
  <si>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</si>
  <si>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</si>
  <si>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</si>
  <si>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</si>
  <si>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</si>
  <si>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</si>
  <si>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</si>
  <si>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</si>
  <si>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</si>
  <si>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</si>
  <si>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</si>
  <si>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</si>
  <si>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</si>
  <si>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</si>
  <si>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</si>
  <si>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</si>
  <si>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</si>
  <si>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</si>
  <si>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</si>
  <si>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</si>
  <si>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</si>
  <si>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</si>
  <si>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</si>
  <si>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</si>
  <si>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</si>
  <si>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</si>
  <si>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</si>
  <si>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</si>
  <si>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</si>
  <si>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</si>
  <si>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</si>
  <si>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</si>
  <si>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</si>
  <si>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</si>
  <si>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</si>
  <si>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</si>
  <si>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</si>
  <si>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</si>
  <si>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</si>
  <si>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</si>
  <si>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</si>
  <si>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</si>
  <si>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</si>
  <si>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</si>
  <si>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</si>
  <si>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</si>
  <si>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</si>
  <si>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</si>
  <si>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</si>
  <si>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</si>
  <si>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</si>
  <si>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</si>
  <si>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</si>
  <si>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</si>
  <si>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</si>
  <si>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</si>
  <si>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</si>
  <si>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</si>
  <si>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</si>
  <si>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</si>
  <si>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</si>
  <si>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</si>
  <si>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</si>
  <si>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</si>
  <si>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</si>
  <si>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</si>
  <si>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</si>
  <si>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</si>
  <si>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</si>
  <si>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</si>
  <si>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</si>
  <si>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</si>
  <si>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</si>
  <si>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</si>
  <si>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</si>
  <si>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</si>
  <si>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</si>
  <si>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</si>
  <si>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</si>
  <si>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</si>
  <si>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</si>
  <si>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</si>
  <si>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</si>
  <si>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</si>
  <si>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</si>
  <si>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</si>
  <si>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</si>
  <si>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</si>
  <si>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</si>
  <si>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</si>
  <si>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</si>
  <si>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</si>
  <si>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</si>
  <si>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</si>
  <si>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</si>
  <si>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</si>
  <si>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</si>
  <si>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</si>
  <si>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</si>
  <si>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</si>
  <si>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</si>
  <si>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</si>
  <si>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</si>
  <si>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</si>
  <si>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</si>
  <si>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</si>
  <si>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</si>
  <si>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</si>
  <si>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</si>
  <si>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</si>
  <si>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</si>
  <si>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</si>
  <si>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</si>
  <si>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</si>
  <si>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</si>
  <si>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</si>
  <si>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</si>
  <si>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</si>
  <si>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</si>
  <si>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</si>
  <si>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</si>
  <si>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</si>
  <si>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</si>
  <si>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</si>
  <si>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</si>
  <si>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</si>
  <si>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</si>
  <si>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</si>
  <si>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</si>
  <si>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</si>
  <si>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</si>
  <si>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</si>
  <si>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</si>
  <si>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</si>
  <si>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</si>
  <si>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</si>
  <si>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</si>
  <si>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</si>
  <si>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</si>
  <si>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</si>
  <si>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</si>
  <si>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</si>
  <si>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</si>
  <si>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</si>
  <si>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</si>
  <si>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</si>
  <si>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</si>
  <si>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</si>
  <si>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</si>
  <si>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</si>
  <si>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</si>
  <si>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</si>
  <si>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</si>
  <si>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</si>
  <si>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</si>
  <si>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</si>
  <si>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</si>
  <si>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</si>
  <si>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</si>
  <si>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</si>
  <si>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</si>
  <si>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</si>
  <si>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</si>
  <si>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</si>
  <si>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</si>
  <si>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</si>
  <si>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</si>
  <si>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</si>
  <si>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</si>
  <si>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</si>
  <si>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</si>
  <si>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</si>
  <si>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</si>
  <si>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</si>
  <si>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</si>
  <si>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</si>
  <si>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</si>
  <si>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</si>
  <si>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</si>
  <si>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</si>
  <si>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</si>
  <si>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</si>
  <si>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</si>
  <si>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</si>
  <si>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</si>
  <si>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</si>
  <si>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</si>
  <si>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</si>
  <si>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</si>
  <si>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</si>
  <si>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</si>
  <si>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</si>
  <si>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</si>
  <si>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</si>
  <si>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</si>
  <si>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</si>
  <si>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</si>
  <si>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</si>
  <si>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</si>
  <si>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</si>
  <si>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</si>
  <si>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</si>
  <si>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</si>
  <si>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</si>
  <si>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</si>
  <si>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</si>
  <si>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</si>
  <si>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</si>
  <si>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</si>
  <si>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</si>
  <si>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</si>
  <si>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</si>
  <si>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</si>
  <si>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</si>
  <si>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</si>
  <si>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</si>
  <si>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</si>
  <si>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</si>
  <si>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</si>
  <si>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</si>
  <si>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</si>
  <si>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</si>
  <si>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</si>
  <si>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</si>
  <si>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</si>
  <si>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</si>
  <si>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</si>
  <si>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</si>
  <si>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</si>
  <si>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</si>
  <si>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</si>
  <si>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</si>
  <si>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</si>
  <si>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</si>
  <si>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</si>
  <si>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</si>
  <si>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</si>
  <si>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</si>
  <si>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</si>
  <si>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</si>
  <si>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</si>
  <si>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</si>
  <si>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</si>
  <si>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</si>
  <si>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</si>
  <si>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</si>
  <si>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</si>
  <si>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</si>
  <si>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</si>
  <si>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</si>
  <si>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</si>
  <si>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</si>
  <si>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</si>
  <si>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</si>
  <si>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</si>
  <si>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</si>
  <si>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</si>
  <si>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</si>
  <si>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</si>
  <si>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</si>
  <si>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</si>
  <si>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</si>
  <si>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</si>
  <si>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</si>
  <si>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</si>
  <si>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</si>
  <si>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</si>
  <si>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</si>
  <si>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</si>
  <si>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</si>
  <si>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</si>
  <si>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</si>
  <si>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</si>
  <si>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</si>
  <si>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</si>
  <si>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</si>
  <si>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</si>
  <si>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</si>
  <si>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</si>
  <si>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</si>
  <si>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</si>
  <si>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</si>
  <si>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</si>
  <si>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</si>
  <si>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</si>
  <si>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</si>
  <si>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</si>
  <si>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</si>
  <si>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</si>
  <si>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</si>
  <si>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</si>
  <si>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</si>
  <si>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</si>
  <si>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</si>
  <si>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</si>
  <si>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</si>
  <si>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</si>
  <si>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</si>
  <si>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</si>
  <si>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</si>
  <si>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</si>
  <si>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</si>
  <si>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</si>
  <si>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</si>
  <si>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</si>
  <si>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</si>
  <si>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</si>
  <si>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</si>
  <si>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</si>
  <si>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</si>
  <si>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</si>
  <si>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</si>
  <si>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</si>
  <si>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</si>
  <si>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</si>
  <si>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</si>
  <si>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</si>
  <si>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</si>
  <si>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</si>
  <si>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</si>
  <si>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</si>
  <si>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</si>
  <si>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</si>
  <si>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</si>
  <si>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</si>
  <si>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</si>
  <si>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</si>
  <si>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</si>
  <si>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</si>
  <si>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</si>
  <si>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</si>
  <si>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</si>
  <si>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</si>
  <si>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</si>
  <si>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</si>
  <si>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</si>
  <si>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</si>
  <si>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</si>
  <si>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</si>
  <si>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</si>
  <si>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</si>
  <si>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</si>
  <si>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</si>
  <si>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</si>
  <si>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</si>
  <si>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</si>
  <si>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</si>
  <si>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</si>
  <si>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</si>
  <si>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</si>
  <si>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</si>
  <si>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</si>
  <si>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</si>
  <si>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</si>
  <si>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</si>
  <si>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</si>
  <si>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</si>
  <si>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</si>
  <si>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</si>
  <si>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</si>
  <si>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</si>
  <si>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</si>
  <si>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</si>
  <si>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</si>
  <si>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</si>
  <si>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</si>
  <si>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</si>
  <si>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</si>
  <si>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</si>
  <si>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</si>
  <si>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</si>
  <si>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</si>
  <si>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</si>
  <si>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</si>
  <si>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</si>
  <si>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</si>
  <si>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</si>
  <si>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</si>
  <si>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</si>
  <si>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</si>
  <si>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</si>
  <si>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</si>
  <si>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</si>
  <si>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</si>
  <si>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</si>
  <si>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</si>
  <si>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</si>
  <si>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</si>
  <si>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</si>
  <si>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</si>
  <si>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</si>
  <si>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</si>
  <si>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</si>
  <si>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</si>
  <si>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</si>
  <si>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</si>
  <si>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</si>
  <si>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</si>
  <si>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</si>
  <si>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</si>
  <si>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</si>
  <si>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</si>
  <si>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</si>
  <si>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</si>
  <si>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</si>
  <si>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</si>
  <si>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</si>
  <si>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</si>
  <si>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</si>
  <si>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</si>
  <si>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</si>
  <si>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</si>
  <si>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</si>
  <si>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</si>
  <si>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</si>
  <si>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</si>
  <si>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</si>
  <si>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</si>
  <si>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</si>
  <si>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</si>
  <si>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</si>
  <si>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</si>
  <si>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</si>
  <si>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</si>
  <si>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</si>
  <si>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</si>
  <si>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</si>
  <si>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</si>
  <si>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</si>
  <si>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</si>
  <si>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</si>
  <si>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</si>
  <si>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</si>
  <si>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</si>
  <si>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</si>
  <si>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</si>
  <si>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</si>
  <si>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</si>
  <si>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</si>
  <si>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</si>
  <si>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</si>
  <si>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</si>
  <si>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</si>
  <si>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</si>
  <si>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WEARE SCHOOL DISTRICT</t>
  </si>
  <si>
    <t>LIABS NOT PAID</t>
  </si>
  <si>
    <t>ACCRUAL VACATION</t>
  </si>
  <si>
    <t>DIFF IN DEFERRED REV</t>
  </si>
  <si>
    <t>6/30/2026</t>
  </si>
  <si>
    <t>8/1/2015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</si>
</sst>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3" activePane="bottomRight" state="frozen"/>
      <selection pane="topRight" activeCell="F1" sqref="F1"/>
      <selection pane="bottomLeft" activeCell="A4" sqref="A4"/>
      <selection pane="bottomRight" activeCell="G666" sqref="G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555</v>
      </c>
      <c r="C2" s="21">
        <v>555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499286.55</v>
      </c>
      <c r="G9" s="18">
        <v>95662.16</v>
      </c>
      <c r="H9" s="18">
        <v>-24753.360000000001</v>
      </c>
      <c r="I9" s="18">
        <v>0</v>
      </c>
      <c r="J9" s="67">
        <f>SUM(I439)</f>
        <v>270061.25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>
        <v>0</v>
      </c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2305.7399999999998</v>
      </c>
      <c r="G12" s="18">
        <v>2305.7399999999998</v>
      </c>
      <c r="H12" s="18">
        <v>0</v>
      </c>
      <c r="I12" s="18">
        <v>0</v>
      </c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42193.17</v>
      </c>
      <c r="G13" s="18">
        <v>65549.56</v>
      </c>
      <c r="H13" s="18">
        <v>36141.129999999997</v>
      </c>
      <c r="I13" s="18">
        <v>0</v>
      </c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1794.57</v>
      </c>
      <c r="G14" s="18">
        <v>0</v>
      </c>
      <c r="H14" s="18">
        <v>0</v>
      </c>
      <c r="I14" s="18">
        <v>0</v>
      </c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545580.02999999991</v>
      </c>
      <c r="G19" s="41">
        <f>SUM(G9:G18)</f>
        <v>163517.46000000002</v>
      </c>
      <c r="H19" s="41">
        <f>SUM(H9:H18)</f>
        <v>11387.769999999997</v>
      </c>
      <c r="I19" s="41">
        <f>SUM(I9:I18)</f>
        <v>0</v>
      </c>
      <c r="J19" s="41">
        <f>SUM(J9:J18)</f>
        <v>270061.25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0</v>
      </c>
      <c r="G22" s="18">
        <v>0</v>
      </c>
      <c r="H22" s="18">
        <v>0</v>
      </c>
      <c r="I22" s="18">
        <v>0</v>
      </c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38247</v>
      </c>
      <c r="G24" s="18">
        <v>0</v>
      </c>
      <c r="H24" s="18">
        <v>0</v>
      </c>
      <c r="I24" s="18">
        <v>0</v>
      </c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>
        <v>10427.4</v>
      </c>
      <c r="G25" s="10">
        <v>16157.15</v>
      </c>
      <c r="H25" s="18">
        <v>1797.6</v>
      </c>
      <c r="I25" s="18">
        <v>0</v>
      </c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>
        <v>0</v>
      </c>
      <c r="G26" s="24" t="s">
        <v>286</v>
      </c>
      <c r="H26" s="24" t="s">
        <v>286</v>
      </c>
      <c r="I26" s="18">
        <v>0</v>
      </c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>
        <v>0</v>
      </c>
      <c r="G27" s="24" t="s">
        <v>286</v>
      </c>
      <c r="H27" s="24" t="s">
        <v>286</v>
      </c>
      <c r="I27" s="18">
        <v>0</v>
      </c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16137.33</v>
      </c>
      <c r="G28" s="18">
        <v>0</v>
      </c>
      <c r="H28" s="18">
        <v>0</v>
      </c>
      <c r="I28" s="18">
        <v>0</v>
      </c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19414.25</v>
      </c>
      <c r="G29" s="18">
        <v>0</v>
      </c>
      <c r="H29" s="18">
        <v>0</v>
      </c>
      <c r="I29" s="18">
        <v>0</v>
      </c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0</v>
      </c>
      <c r="G30" s="18">
        <v>9105.0400000000009</v>
      </c>
      <c r="H30" s="18">
        <v>0</v>
      </c>
      <c r="I30" s="18">
        <v>0</v>
      </c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84225.98000000001</v>
      </c>
      <c r="G32" s="41">
        <f>SUM(G22:G31)</f>
        <v>25262.190000000002</v>
      </c>
      <c r="H32" s="41">
        <f>SUM(H22:H31)</f>
        <v>1797.6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>
        <v>0</v>
      </c>
      <c r="H39" s="18">
        <v>0</v>
      </c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0</v>
      </c>
      <c r="G44" s="18"/>
      <c r="H44" s="18"/>
      <c r="I44" s="18">
        <v>0</v>
      </c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0</v>
      </c>
      <c r="G48" s="18">
        <v>138255.26999999999</v>
      </c>
      <c r="H48" s="18">
        <v>9590.17</v>
      </c>
      <c r="I48" s="18">
        <v>0</v>
      </c>
      <c r="J48" s="13">
        <f>SUM(I459)</f>
        <v>270061.25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461354.05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461354.05</v>
      </c>
      <c r="G51" s="41">
        <f>SUM(G35:G50)</f>
        <v>138255.26999999999</v>
      </c>
      <c r="H51" s="41">
        <f>SUM(H35:H50)</f>
        <v>9590.17</v>
      </c>
      <c r="I51" s="41">
        <f>SUM(I35:I50)</f>
        <v>0</v>
      </c>
      <c r="J51" s="41">
        <f>SUM(J35:J50)</f>
        <v>270061.25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545580.03</v>
      </c>
      <c r="G52" s="41">
        <f>G51+G32</f>
        <v>163517.46</v>
      </c>
      <c r="H52" s="41">
        <f>H51+H32</f>
        <v>11387.77</v>
      </c>
      <c r="I52" s="41">
        <f>I51+I32</f>
        <v>0</v>
      </c>
      <c r="J52" s="41">
        <f>J51+J32</f>
        <v>270061.25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7874649</v>
      </c>
      <c r="G57" s="18">
        <v>26986</v>
      </c>
      <c r="H57" s="18">
        <v>0</v>
      </c>
      <c r="I57" s="18">
        <v>0</v>
      </c>
      <c r="J57" s="18">
        <v>0</v>
      </c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>
        <v>0</v>
      </c>
      <c r="G58" s="18">
        <v>0</v>
      </c>
      <c r="H58" s="24" t="s">
        <v>286</v>
      </c>
      <c r="I58" s="18">
        <v>0</v>
      </c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7874649</v>
      </c>
      <c r="G60" s="41">
        <f>SUM(G57:G59)</f>
        <v>26986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12265</v>
      </c>
      <c r="G63" s="24" t="s">
        <v>286</v>
      </c>
      <c r="H63" s="18">
        <v>0</v>
      </c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0</v>
      </c>
      <c r="G64" s="24" t="s">
        <v>286</v>
      </c>
      <c r="H64" s="18">
        <v>0</v>
      </c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>
        <v>0</v>
      </c>
      <c r="G65" s="24" t="s">
        <v>286</v>
      </c>
      <c r="H65" s="18">
        <v>0</v>
      </c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>
        <v>0</v>
      </c>
      <c r="G66" s="24" t="s">
        <v>286</v>
      </c>
      <c r="H66" s="18">
        <v>0</v>
      </c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0</v>
      </c>
      <c r="G68" s="24" t="s">
        <v>286</v>
      </c>
      <c r="H68" s="18">
        <v>0</v>
      </c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0</v>
      </c>
      <c r="G69" s="24" t="s">
        <v>286</v>
      </c>
      <c r="H69" s="18">
        <v>0</v>
      </c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v>0</v>
      </c>
      <c r="G70" s="24" t="s">
        <v>286</v>
      </c>
      <c r="H70" s="18">
        <v>0</v>
      </c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>
        <v>0</v>
      </c>
      <c r="G72" s="24" t="s">
        <v>286</v>
      </c>
      <c r="H72" s="18">
        <v>0</v>
      </c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>
        <v>0</v>
      </c>
      <c r="G73" s="24" t="s">
        <v>286</v>
      </c>
      <c r="H73" s="18">
        <v>0</v>
      </c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>
        <v>0</v>
      </c>
      <c r="G74" s="24" t="s">
        <v>286</v>
      </c>
      <c r="H74" s="18">
        <v>0</v>
      </c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>
        <v>0</v>
      </c>
      <c r="G76" s="24" t="s">
        <v>286</v>
      </c>
      <c r="H76" s="18">
        <v>0</v>
      </c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>
        <v>0</v>
      </c>
      <c r="G77" s="24" t="s">
        <v>286</v>
      </c>
      <c r="H77" s="18">
        <v>0</v>
      </c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>
        <v>0</v>
      </c>
      <c r="G78" s="24" t="s">
        <v>286</v>
      </c>
      <c r="H78" s="18">
        <v>0</v>
      </c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12265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>
        <v>0</v>
      </c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>
        <v>0</v>
      </c>
      <c r="G84" s="24" t="s">
        <v>286</v>
      </c>
      <c r="H84" s="18">
        <v>0</v>
      </c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>
        <v>83338.7</v>
      </c>
      <c r="G86" s="24" t="s">
        <v>286</v>
      </c>
      <c r="H86" s="18">
        <v>0</v>
      </c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>
        <v>0</v>
      </c>
      <c r="G87" s="24" t="s">
        <v>286</v>
      </c>
      <c r="H87" s="18">
        <v>0</v>
      </c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>
        <v>0</v>
      </c>
      <c r="G88" s="24" t="s">
        <v>286</v>
      </c>
      <c r="H88" s="18">
        <v>0</v>
      </c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>
        <v>0</v>
      </c>
      <c r="G90" s="24" t="s">
        <v>286</v>
      </c>
      <c r="H90" s="18">
        <v>0</v>
      </c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>
        <v>0</v>
      </c>
      <c r="G91" s="24" t="s">
        <v>286</v>
      </c>
      <c r="H91" s="18">
        <v>0</v>
      </c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>
        <v>0</v>
      </c>
      <c r="G92" s="24" t="s">
        <v>286</v>
      </c>
      <c r="H92" s="18">
        <v>0</v>
      </c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>
        <v>0</v>
      </c>
      <c r="G93" s="24" t="s">
        <v>286</v>
      </c>
      <c r="H93" s="18">
        <v>0</v>
      </c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83338.7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4964.6499999999996</v>
      </c>
      <c r="G96" s="18">
        <v>0</v>
      </c>
      <c r="H96" s="18">
        <v>0</v>
      </c>
      <c r="I96" s="18">
        <v>0</v>
      </c>
      <c r="J96" s="18">
        <v>808.88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222321.49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0</v>
      </c>
      <c r="G98" s="24" t="s">
        <v>286</v>
      </c>
      <c r="H98" s="18">
        <v>0</v>
      </c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>
        <v>0</v>
      </c>
      <c r="G99" s="18">
        <v>0</v>
      </c>
      <c r="H99" s="18">
        <v>0</v>
      </c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900</v>
      </c>
      <c r="G101" s="18">
        <v>0</v>
      </c>
      <c r="H101" s="18">
        <v>0</v>
      </c>
      <c r="I101" s="18">
        <v>0</v>
      </c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248.52</v>
      </c>
      <c r="G102" s="18">
        <v>0</v>
      </c>
      <c r="H102" s="18">
        <v>38118.800000000003</v>
      </c>
      <c r="I102" s="18">
        <v>0</v>
      </c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>
        <v>0</v>
      </c>
      <c r="G103" s="18">
        <v>0</v>
      </c>
      <c r="H103" s="18">
        <v>0</v>
      </c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>
        <v>0</v>
      </c>
      <c r="G104" s="24" t="s">
        <v>286</v>
      </c>
      <c r="H104" s="18">
        <v>0</v>
      </c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0</v>
      </c>
      <c r="G105" s="18">
        <v>0</v>
      </c>
      <c r="H105" s="18">
        <v>0</v>
      </c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>
        <v>0</v>
      </c>
      <c r="G106" s="18">
        <v>0</v>
      </c>
      <c r="H106" s="18">
        <v>0</v>
      </c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>
        <v>0</v>
      </c>
      <c r="G108" s="18">
        <v>0</v>
      </c>
      <c r="H108" s="18">
        <v>0</v>
      </c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9095.7800000000007</v>
      </c>
      <c r="G109" s="18">
        <v>0</v>
      </c>
      <c r="H109" s="18">
        <v>0</v>
      </c>
      <c r="I109" s="18">
        <v>0</v>
      </c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17165.330000000002</v>
      </c>
      <c r="G110" s="18">
        <v>1315.76</v>
      </c>
      <c r="H110" s="18">
        <v>0</v>
      </c>
      <c r="I110" s="18">
        <v>0</v>
      </c>
      <c r="J110" s="18">
        <v>0</v>
      </c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32374.280000000002</v>
      </c>
      <c r="G111" s="41">
        <f>SUM(G96:G110)</f>
        <v>223637.25</v>
      </c>
      <c r="H111" s="41">
        <f>SUM(H96:H110)</f>
        <v>38118.800000000003</v>
      </c>
      <c r="I111" s="41">
        <f>SUM(I96:I110)</f>
        <v>0</v>
      </c>
      <c r="J111" s="41">
        <f>SUM(J96:J110)</f>
        <v>808.88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8002626.9800000004</v>
      </c>
      <c r="G112" s="41">
        <f>G60+G111</f>
        <v>250623.25</v>
      </c>
      <c r="H112" s="41">
        <f>H60+H79+H94+H111</f>
        <v>38118.800000000003</v>
      </c>
      <c r="I112" s="41">
        <f>I60+I111</f>
        <v>0</v>
      </c>
      <c r="J112" s="41">
        <f>J60+J111</f>
        <v>808.88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4915862.38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1157132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24370.32</v>
      </c>
      <c r="G120" s="18">
        <v>0</v>
      </c>
      <c r="H120" s="18">
        <v>0</v>
      </c>
      <c r="I120" s="18">
        <v>0</v>
      </c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6097364.7000000002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369686.39</v>
      </c>
      <c r="G123" s="24" t="s">
        <v>286</v>
      </c>
      <c r="H123" s="24" t="s">
        <v>286</v>
      </c>
      <c r="I123" s="18">
        <v>0</v>
      </c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>
        <v>0</v>
      </c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42199.23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0</v>
      </c>
      <c r="G127" s="24" t="s">
        <v>286</v>
      </c>
      <c r="H127" s="18">
        <v>0</v>
      </c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0</v>
      </c>
      <c r="G128" s="24" t="s">
        <v>286</v>
      </c>
      <c r="H128" s="18">
        <v>0</v>
      </c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>
        <v>0</v>
      </c>
      <c r="G129" s="24" t="s">
        <v>286</v>
      </c>
      <c r="H129" s="18">
        <v>0</v>
      </c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>
        <v>0</v>
      </c>
      <c r="G130" s="24" t="s">
        <v>286</v>
      </c>
      <c r="H130" s="18">
        <v>0</v>
      </c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>
        <v>0</v>
      </c>
      <c r="G131" s="24" t="s">
        <v>286</v>
      </c>
      <c r="H131" s="18">
        <v>0</v>
      </c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5113.54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>
        <v>0</v>
      </c>
      <c r="G133" s="24" t="s">
        <v>286</v>
      </c>
      <c r="H133" s="18">
        <v>0</v>
      </c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411885.62</v>
      </c>
      <c r="G136" s="41">
        <f>SUM(G123:G135)</f>
        <v>5113.54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>
        <v>0</v>
      </c>
      <c r="G137" s="18">
        <v>0</v>
      </c>
      <c r="H137" s="18">
        <v>0</v>
      </c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>
        <v>0</v>
      </c>
      <c r="G138" s="24" t="s">
        <v>286</v>
      </c>
      <c r="H138" s="18">
        <v>0</v>
      </c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6509250.3200000003</v>
      </c>
      <c r="G140" s="41">
        <f>G121+SUM(G136:G137)</f>
        <v>5113.54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>
        <v>0</v>
      </c>
      <c r="G150" s="24" t="s">
        <v>286</v>
      </c>
      <c r="H150" s="18">
        <v>0</v>
      </c>
      <c r="I150" s="18">
        <v>0</v>
      </c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>
        <v>0</v>
      </c>
      <c r="G151" s="24" t="s">
        <v>286</v>
      </c>
      <c r="H151" s="18">
        <v>0</v>
      </c>
      <c r="I151" s="18">
        <v>0</v>
      </c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>
        <v>0</v>
      </c>
      <c r="G152" s="24" t="s">
        <v>286</v>
      </c>
      <c r="H152" s="18">
        <v>0</v>
      </c>
      <c r="I152" s="18">
        <v>0</v>
      </c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0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53221.98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0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>
        <v>0</v>
      </c>
      <c r="G157" s="24" t="s">
        <v>286</v>
      </c>
      <c r="H157" s="18">
        <v>0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114734.23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>
        <v>0</v>
      </c>
      <c r="G159" s="24" t="s">
        <v>286</v>
      </c>
      <c r="H159" s="18">
        <v>0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107184.89</v>
      </c>
      <c r="G160" s="24" t="s">
        <v>286</v>
      </c>
      <c r="H160" s="18">
        <v>0</v>
      </c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107184.89</v>
      </c>
      <c r="G162" s="41">
        <f>SUM(G150:G161)</f>
        <v>114734.23</v>
      </c>
      <c r="H162" s="41">
        <f>SUM(H150:H161)</f>
        <v>53221.98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0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>
        <v>0</v>
      </c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>
        <v>0</v>
      </c>
      <c r="G168" s="18">
        <v>0</v>
      </c>
      <c r="H168" s="18">
        <v>0</v>
      </c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107184.89</v>
      </c>
      <c r="G169" s="41">
        <f>G147+G162+SUM(G163:G168)</f>
        <v>114734.23</v>
      </c>
      <c r="H169" s="41">
        <f>H147+H162+SUM(H163:H168)</f>
        <v>53221.98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>
        <v>0</v>
      </c>
      <c r="G173" s="24" t="s">
        <v>286</v>
      </c>
      <c r="H173" s="24" t="s">
        <v>286</v>
      </c>
      <c r="I173" s="18">
        <v>0</v>
      </c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>
        <v>0</v>
      </c>
      <c r="G174" s="24" t="s">
        <v>286</v>
      </c>
      <c r="H174" s="24" t="s">
        <v>286</v>
      </c>
      <c r="I174" s="18">
        <v>0</v>
      </c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>
        <v>0</v>
      </c>
      <c r="G175" s="24" t="s">
        <v>286</v>
      </c>
      <c r="H175" s="24" t="s">
        <v>286</v>
      </c>
      <c r="I175" s="18">
        <v>0</v>
      </c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>
        <v>0</v>
      </c>
      <c r="G176" s="24" t="s">
        <v>286</v>
      </c>
      <c r="H176" s="24" t="s">
        <v>286</v>
      </c>
      <c r="I176" s="18">
        <v>0</v>
      </c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0</v>
      </c>
      <c r="H179" s="18">
        <v>0</v>
      </c>
      <c r="I179" s="18">
        <v>0</v>
      </c>
      <c r="J179" s="18">
        <v>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>
        <v>0</v>
      </c>
      <c r="G180" s="24" t="s">
        <v>286</v>
      </c>
      <c r="H180" s="18">
        <v>0</v>
      </c>
      <c r="I180" s="18">
        <v>0</v>
      </c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>
        <v>0</v>
      </c>
      <c r="G181" s="18">
        <v>0</v>
      </c>
      <c r="H181" s="24" t="s">
        <v>286</v>
      </c>
      <c r="I181" s="18">
        <v>0</v>
      </c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>
        <v>0</v>
      </c>
      <c r="G182" s="18">
        <v>0</v>
      </c>
      <c r="H182" s="18">
        <v>0</v>
      </c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14619062.190000001</v>
      </c>
      <c r="G193" s="47">
        <f>G112+G140+G169+G192</f>
        <v>370471.02</v>
      </c>
      <c r="H193" s="47">
        <f>H112+H140+H169+H192</f>
        <v>91340.78</v>
      </c>
      <c r="I193" s="47">
        <f>I112+I140+I169+I192</f>
        <v>0</v>
      </c>
      <c r="J193" s="47">
        <f>J112+J140+J192</f>
        <v>808.88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1942449.65</v>
      </c>
      <c r="G197" s="18">
        <v>1097669.92</v>
      </c>
      <c r="H197" s="18">
        <v>54045.98</v>
      </c>
      <c r="I197" s="18">
        <v>131862.64000000001</v>
      </c>
      <c r="J197" s="18">
        <v>15315.15</v>
      </c>
      <c r="K197" s="18">
        <v>0</v>
      </c>
      <c r="L197" s="19">
        <f>SUM(F197:K197)</f>
        <v>3241343.34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963444.05</v>
      </c>
      <c r="G198" s="18">
        <v>297271.67999999999</v>
      </c>
      <c r="H198" s="18">
        <v>54492.07</v>
      </c>
      <c r="I198" s="18">
        <v>13219.3</v>
      </c>
      <c r="J198" s="18">
        <v>6115.5</v>
      </c>
      <c r="K198" s="18">
        <v>7435.84</v>
      </c>
      <c r="L198" s="19">
        <f>SUM(F198:K198)</f>
        <v>1341978.4400000002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28413.73</v>
      </c>
      <c r="G200" s="18">
        <v>6644.89</v>
      </c>
      <c r="H200" s="18">
        <v>0</v>
      </c>
      <c r="I200" s="18">
        <v>104</v>
      </c>
      <c r="J200" s="18">
        <v>0</v>
      </c>
      <c r="K200" s="18">
        <v>0</v>
      </c>
      <c r="L200" s="19">
        <f>SUM(F200:K200)</f>
        <v>35162.620000000003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346197.5</v>
      </c>
      <c r="G202" s="18">
        <v>200962.83</v>
      </c>
      <c r="H202" s="18">
        <v>45829.18</v>
      </c>
      <c r="I202" s="18">
        <v>5101.95</v>
      </c>
      <c r="J202" s="18">
        <v>1290.07</v>
      </c>
      <c r="K202" s="18">
        <v>0</v>
      </c>
      <c r="L202" s="19">
        <f t="shared" ref="L202:L208" si="0">SUM(F202:K202)</f>
        <v>599381.52999999991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151851.96</v>
      </c>
      <c r="G203" s="18">
        <v>88013.59</v>
      </c>
      <c r="H203" s="18">
        <v>4179</v>
      </c>
      <c r="I203" s="18">
        <v>3201.85</v>
      </c>
      <c r="J203" s="18">
        <v>135250.38</v>
      </c>
      <c r="K203" s="18">
        <v>27790.66</v>
      </c>
      <c r="L203" s="19">
        <f t="shared" si="0"/>
        <v>410287.44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4711</v>
      </c>
      <c r="G204" s="18">
        <v>19410.48</v>
      </c>
      <c r="H204" s="18">
        <v>332012.3</v>
      </c>
      <c r="I204" s="18">
        <v>865.37</v>
      </c>
      <c r="J204" s="18">
        <v>0</v>
      </c>
      <c r="K204" s="18">
        <v>7921.67</v>
      </c>
      <c r="L204" s="19">
        <f t="shared" si="0"/>
        <v>364920.81999999995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345963.16</v>
      </c>
      <c r="G205" s="18">
        <v>158673.73000000001</v>
      </c>
      <c r="H205" s="18">
        <v>24072.75</v>
      </c>
      <c r="I205" s="18">
        <v>545.6</v>
      </c>
      <c r="J205" s="18">
        <v>493.4</v>
      </c>
      <c r="K205" s="18">
        <v>1090</v>
      </c>
      <c r="L205" s="19">
        <f t="shared" si="0"/>
        <v>530838.64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53776.37</v>
      </c>
      <c r="G207" s="18">
        <v>12965.67</v>
      </c>
      <c r="H207" s="18">
        <v>299949.63</v>
      </c>
      <c r="I207" s="18">
        <v>110262.34</v>
      </c>
      <c r="J207" s="18">
        <v>8445</v>
      </c>
      <c r="K207" s="18">
        <v>0</v>
      </c>
      <c r="L207" s="19">
        <f t="shared" si="0"/>
        <v>485399.01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0</v>
      </c>
      <c r="G208" s="18">
        <v>0</v>
      </c>
      <c r="H208" s="18">
        <v>451645.32</v>
      </c>
      <c r="I208" s="18">
        <v>0</v>
      </c>
      <c r="J208" s="18">
        <v>0</v>
      </c>
      <c r="K208" s="18">
        <v>0</v>
      </c>
      <c r="L208" s="19">
        <f t="shared" si="0"/>
        <v>451645.32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3836807.4200000004</v>
      </c>
      <c r="G211" s="41">
        <f t="shared" si="1"/>
        <v>1881612.7899999998</v>
      </c>
      <c r="H211" s="41">
        <f t="shared" si="1"/>
        <v>1266226.23</v>
      </c>
      <c r="I211" s="41">
        <f t="shared" si="1"/>
        <v>265163.05000000005</v>
      </c>
      <c r="J211" s="41">
        <f t="shared" si="1"/>
        <v>166909.5</v>
      </c>
      <c r="K211" s="41">
        <f t="shared" si="1"/>
        <v>44238.17</v>
      </c>
      <c r="L211" s="41">
        <f t="shared" si="1"/>
        <v>7460957.1600000011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1449685.91</v>
      </c>
      <c r="G215" s="18">
        <v>725910.68</v>
      </c>
      <c r="H215" s="18">
        <v>23524.48</v>
      </c>
      <c r="I215" s="18">
        <v>140331.39000000001</v>
      </c>
      <c r="J215" s="18">
        <v>11169.17</v>
      </c>
      <c r="K215" s="18">
        <v>323</v>
      </c>
      <c r="L215" s="19">
        <f>SUM(F215:K215)</f>
        <v>2350944.63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635158.12</v>
      </c>
      <c r="G216" s="18">
        <v>223700.99</v>
      </c>
      <c r="H216" s="18">
        <v>149426.81</v>
      </c>
      <c r="I216" s="18">
        <v>7210.89</v>
      </c>
      <c r="J216" s="18">
        <v>5144.8</v>
      </c>
      <c r="K216" s="18">
        <v>3087.29</v>
      </c>
      <c r="L216" s="19">
        <f>SUM(F216:K216)</f>
        <v>1023728.9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v>0</v>
      </c>
      <c r="G217" s="18">
        <v>0</v>
      </c>
      <c r="H217" s="18">
        <v>88559.27</v>
      </c>
      <c r="I217" s="18">
        <v>0</v>
      </c>
      <c r="J217" s="18">
        <v>0</v>
      </c>
      <c r="K217" s="18">
        <v>0</v>
      </c>
      <c r="L217" s="19">
        <f>SUM(F217:K217)</f>
        <v>88559.27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34628.03</v>
      </c>
      <c r="G218" s="18">
        <v>6822.24</v>
      </c>
      <c r="H218" s="18">
        <v>0</v>
      </c>
      <c r="I218" s="18">
        <v>3274.4</v>
      </c>
      <c r="J218" s="18">
        <v>0</v>
      </c>
      <c r="K218" s="18">
        <v>4814</v>
      </c>
      <c r="L218" s="19">
        <f>SUM(F218:K218)</f>
        <v>49538.67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204521.11</v>
      </c>
      <c r="G220" s="18">
        <v>107765.82</v>
      </c>
      <c r="H220" s="18">
        <v>56307.13</v>
      </c>
      <c r="I220" s="18">
        <v>2930.65</v>
      </c>
      <c r="J220" s="18">
        <v>945.17</v>
      </c>
      <c r="K220" s="18">
        <v>0</v>
      </c>
      <c r="L220" s="19">
        <f t="shared" ref="L220:L226" si="2">SUM(F220:K220)</f>
        <v>372469.88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169400.99</v>
      </c>
      <c r="G221" s="18">
        <v>87860.83</v>
      </c>
      <c r="H221" s="18">
        <v>1531</v>
      </c>
      <c r="I221" s="18">
        <v>11300.62</v>
      </c>
      <c r="J221" s="18">
        <v>115533.68</v>
      </c>
      <c r="K221" s="18">
        <v>39953.39</v>
      </c>
      <c r="L221" s="19">
        <f t="shared" si="2"/>
        <v>425580.51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3589</v>
      </c>
      <c r="G222" s="18">
        <v>19224.47</v>
      </c>
      <c r="H222" s="18">
        <v>227570.59</v>
      </c>
      <c r="I222" s="18">
        <v>388.12</v>
      </c>
      <c r="J222" s="18">
        <v>0</v>
      </c>
      <c r="K222" s="18">
        <v>6813.27</v>
      </c>
      <c r="L222" s="19">
        <f t="shared" si="2"/>
        <v>257585.44999999998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243117.99</v>
      </c>
      <c r="G223" s="18">
        <v>69952.14</v>
      </c>
      <c r="H223" s="18">
        <v>22091.14</v>
      </c>
      <c r="I223" s="18">
        <v>550.58000000000004</v>
      </c>
      <c r="J223" s="18">
        <v>0</v>
      </c>
      <c r="K223" s="18">
        <v>1145</v>
      </c>
      <c r="L223" s="19">
        <f t="shared" si="2"/>
        <v>336856.85000000003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154797.28</v>
      </c>
      <c r="G225" s="18">
        <v>70813.05</v>
      </c>
      <c r="H225" s="18">
        <v>260231.2</v>
      </c>
      <c r="I225" s="18">
        <v>210600.95</v>
      </c>
      <c r="J225" s="18">
        <v>1624.96</v>
      </c>
      <c r="K225" s="18">
        <v>0</v>
      </c>
      <c r="L225" s="19">
        <f t="shared" si="2"/>
        <v>698067.44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0</v>
      </c>
      <c r="G226" s="18">
        <v>0</v>
      </c>
      <c r="H226" s="18">
        <v>400201.81</v>
      </c>
      <c r="I226" s="18">
        <v>0</v>
      </c>
      <c r="J226" s="18">
        <v>0</v>
      </c>
      <c r="K226" s="18">
        <v>0</v>
      </c>
      <c r="L226" s="19">
        <f t="shared" si="2"/>
        <v>400201.81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0</v>
      </c>
      <c r="G227" s="18"/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2894898.4299999992</v>
      </c>
      <c r="G229" s="41">
        <f>SUM(G215:G228)</f>
        <v>1312050.22</v>
      </c>
      <c r="H229" s="41">
        <f>SUM(H215:H228)</f>
        <v>1229443.4300000002</v>
      </c>
      <c r="I229" s="41">
        <f>SUM(I215:I228)</f>
        <v>376587.6</v>
      </c>
      <c r="J229" s="41">
        <f>SUM(J215:J228)</f>
        <v>134417.78</v>
      </c>
      <c r="K229" s="41">
        <f t="shared" si="3"/>
        <v>56135.95</v>
      </c>
      <c r="L229" s="41">
        <f t="shared" si="3"/>
        <v>6003533.4099999992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0</v>
      </c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6731705.8499999996</v>
      </c>
      <c r="G257" s="41">
        <f t="shared" si="8"/>
        <v>3193663.01</v>
      </c>
      <c r="H257" s="41">
        <f t="shared" si="8"/>
        <v>2495669.66</v>
      </c>
      <c r="I257" s="41">
        <f t="shared" si="8"/>
        <v>641750.65</v>
      </c>
      <c r="J257" s="41">
        <f t="shared" si="8"/>
        <v>301327.28000000003</v>
      </c>
      <c r="K257" s="41">
        <f t="shared" si="8"/>
        <v>100374.12</v>
      </c>
      <c r="L257" s="41">
        <f t="shared" si="8"/>
        <v>13464490.57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910000</v>
      </c>
      <c r="L260" s="19">
        <f>SUM(F260:K260)</f>
        <v>910000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145418</v>
      </c>
      <c r="L261" s="19">
        <f>SUM(F261:K261)</f>
        <v>145418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0</v>
      </c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>
        <v>0</v>
      </c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0</v>
      </c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1055418</v>
      </c>
      <c r="L270" s="41">
        <f t="shared" si="9"/>
        <v>1055418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6731705.8499999996</v>
      </c>
      <c r="G271" s="42">
        <f t="shared" si="11"/>
        <v>3193663.01</v>
      </c>
      <c r="H271" s="42">
        <f t="shared" si="11"/>
        <v>2495669.66</v>
      </c>
      <c r="I271" s="42">
        <f t="shared" si="11"/>
        <v>641750.65</v>
      </c>
      <c r="J271" s="42">
        <f t="shared" si="11"/>
        <v>301327.28000000003</v>
      </c>
      <c r="K271" s="42">
        <f t="shared" si="11"/>
        <v>1155792.1200000001</v>
      </c>
      <c r="L271" s="42">
        <f t="shared" si="11"/>
        <v>14519908.57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0</v>
      </c>
      <c r="G276" s="18">
        <v>0</v>
      </c>
      <c r="H276" s="18">
        <v>0</v>
      </c>
      <c r="I276" s="18">
        <v>15409.83</v>
      </c>
      <c r="J276" s="18">
        <v>0</v>
      </c>
      <c r="K276" s="18">
        <v>0</v>
      </c>
      <c r="L276" s="19">
        <f>SUM(F276:K276)</f>
        <v>15409.83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0</v>
      </c>
      <c r="G282" s="18">
        <v>0</v>
      </c>
      <c r="H282" s="18">
        <v>13775.13</v>
      </c>
      <c r="I282" s="18">
        <v>0</v>
      </c>
      <c r="J282" s="18">
        <v>0</v>
      </c>
      <c r="K282" s="18">
        <v>415.2</v>
      </c>
      <c r="L282" s="19">
        <f t="shared" si="12"/>
        <v>14190.33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13775.13</v>
      </c>
      <c r="I290" s="42">
        <f t="shared" si="13"/>
        <v>15409.83</v>
      </c>
      <c r="J290" s="42">
        <f t="shared" si="13"/>
        <v>0</v>
      </c>
      <c r="K290" s="42">
        <f t="shared" si="13"/>
        <v>415.2</v>
      </c>
      <c r="L290" s="41">
        <f t="shared" si="13"/>
        <v>29600.16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808.85</v>
      </c>
      <c r="G295" s="18">
        <v>202.3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1011.1500000000001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24615</v>
      </c>
      <c r="G301" s="18">
        <v>5695.34</v>
      </c>
      <c r="H301" s="18">
        <v>6170.36</v>
      </c>
      <c r="I301" s="18">
        <v>461.7</v>
      </c>
      <c r="J301" s="18">
        <v>0</v>
      </c>
      <c r="K301" s="18">
        <v>1078.0999999999999</v>
      </c>
      <c r="L301" s="19">
        <f t="shared" si="14"/>
        <v>38020.499999999993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13118.8</v>
      </c>
      <c r="K305" s="18">
        <v>0</v>
      </c>
      <c r="L305" s="19">
        <f t="shared" si="14"/>
        <v>13118.8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>
        <v>0</v>
      </c>
      <c r="G307" s="18"/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25423.85</v>
      </c>
      <c r="G309" s="42">
        <f t="shared" si="15"/>
        <v>5897.64</v>
      </c>
      <c r="H309" s="42">
        <f t="shared" si="15"/>
        <v>6170.36</v>
      </c>
      <c r="I309" s="42">
        <f t="shared" si="15"/>
        <v>461.7</v>
      </c>
      <c r="J309" s="42">
        <f t="shared" si="15"/>
        <v>13118.8</v>
      </c>
      <c r="K309" s="42">
        <f t="shared" si="15"/>
        <v>1078.0999999999999</v>
      </c>
      <c r="L309" s="41">
        <f t="shared" si="15"/>
        <v>52150.45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>
        <v>0</v>
      </c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25423.85</v>
      </c>
      <c r="G338" s="41">
        <f t="shared" si="20"/>
        <v>5897.64</v>
      </c>
      <c r="H338" s="41">
        <f t="shared" si="20"/>
        <v>19945.489999999998</v>
      </c>
      <c r="I338" s="41">
        <f t="shared" si="20"/>
        <v>15871.53</v>
      </c>
      <c r="J338" s="41">
        <f t="shared" si="20"/>
        <v>13118.8</v>
      </c>
      <c r="K338" s="41">
        <f t="shared" si="20"/>
        <v>1493.3</v>
      </c>
      <c r="L338" s="41">
        <f t="shared" si="20"/>
        <v>81750.61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>
        <v>0</v>
      </c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25423.85</v>
      </c>
      <c r="G352" s="41">
        <f>G338</f>
        <v>5897.64</v>
      </c>
      <c r="H352" s="41">
        <f>H338</f>
        <v>19945.489999999998</v>
      </c>
      <c r="I352" s="41">
        <f>I338</f>
        <v>15871.53</v>
      </c>
      <c r="J352" s="41">
        <f>J338</f>
        <v>13118.8</v>
      </c>
      <c r="K352" s="47">
        <f>K338+K351</f>
        <v>1493.3</v>
      </c>
      <c r="L352" s="41">
        <f>L338+L351</f>
        <v>81750.61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0</v>
      </c>
      <c r="G358" s="18">
        <v>0</v>
      </c>
      <c r="H358" s="18">
        <v>169475.5</v>
      </c>
      <c r="I358" s="18">
        <v>0</v>
      </c>
      <c r="J358" s="18">
        <v>4794.03</v>
      </c>
      <c r="K358" s="18">
        <v>309.75</v>
      </c>
      <c r="L358" s="13">
        <f>SUM(F358:K358)</f>
        <v>174579.28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0</v>
      </c>
      <c r="G359" s="18">
        <v>0</v>
      </c>
      <c r="H359" s="18">
        <v>171491.69</v>
      </c>
      <c r="I359" s="18">
        <v>0</v>
      </c>
      <c r="J359" s="18">
        <v>29112.91</v>
      </c>
      <c r="K359" s="18">
        <v>1000.57</v>
      </c>
      <c r="L359" s="19">
        <f>SUM(F359:K359)</f>
        <v>201605.17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340967.19</v>
      </c>
      <c r="I362" s="47">
        <f t="shared" si="22"/>
        <v>0</v>
      </c>
      <c r="J362" s="47">
        <f t="shared" si="22"/>
        <v>33906.94</v>
      </c>
      <c r="K362" s="47">
        <f t="shared" si="22"/>
        <v>1310.3200000000002</v>
      </c>
      <c r="L362" s="47">
        <f t="shared" si="22"/>
        <v>376184.45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0</v>
      </c>
      <c r="G367" s="18">
        <v>0</v>
      </c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0</v>
      </c>
      <c r="G368" s="63">
        <v>0</v>
      </c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>
        <v>170.13</v>
      </c>
      <c r="I389" s="18"/>
      <c r="J389" s="24" t="s">
        <v>286</v>
      </c>
      <c r="K389" s="24" t="s">
        <v>286</v>
      </c>
      <c r="L389" s="56">
        <f t="shared" si="25"/>
        <v>170.13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170.13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170.13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0</v>
      </c>
      <c r="H396" s="18">
        <v>299.60000000000002</v>
      </c>
      <c r="I396" s="18"/>
      <c r="J396" s="24" t="s">
        <v>286</v>
      </c>
      <c r="K396" s="24" t="s">
        <v>286</v>
      </c>
      <c r="L396" s="56">
        <f t="shared" si="26"/>
        <v>299.60000000000002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0</v>
      </c>
      <c r="H397" s="18">
        <v>302.17</v>
      </c>
      <c r="I397" s="18"/>
      <c r="J397" s="24" t="s">
        <v>286</v>
      </c>
      <c r="K397" s="24" t="s">
        <v>286</v>
      </c>
      <c r="L397" s="56">
        <f t="shared" si="26"/>
        <v>302.17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v>36.979999999999997</v>
      </c>
      <c r="I400" s="18"/>
      <c r="J400" s="24" t="s">
        <v>286</v>
      </c>
      <c r="K400" s="24" t="s">
        <v>286</v>
      </c>
      <c r="L400" s="56">
        <f t="shared" si="26"/>
        <v>36.979999999999997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638.75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638.75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808.88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808.88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>
        <v>0</v>
      </c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>
        <v>270061.25</v>
      </c>
      <c r="H439" s="18"/>
      <c r="I439" s="56">
        <f t="shared" ref="I439:I445" si="33">SUM(F439:H439)</f>
        <v>270061.25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270061.25</v>
      </c>
      <c r="H446" s="13">
        <f>SUM(H439:H445)</f>
        <v>0</v>
      </c>
      <c r="I446" s="13">
        <f>SUM(I439:I445)</f>
        <v>270061.25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>
        <v>0</v>
      </c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270061.25</v>
      </c>
      <c r="H459" s="18"/>
      <c r="I459" s="56">
        <f t="shared" si="34"/>
        <v>270061.25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270061.25</v>
      </c>
      <c r="H460" s="83">
        <f>SUM(H454:H459)</f>
        <v>0</v>
      </c>
      <c r="I460" s="83">
        <f>SUM(I454:I459)</f>
        <v>270061.25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270061.25</v>
      </c>
      <c r="H461" s="42">
        <f>H452+H460</f>
        <v>0</v>
      </c>
      <c r="I461" s="42">
        <f>I452+I460</f>
        <v>270061.25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363308.7</v>
      </c>
      <c r="G465" s="18">
        <v>143047.26999999999</v>
      </c>
      <c r="H465" s="18">
        <v>0</v>
      </c>
      <c r="I465" s="18">
        <v>0</v>
      </c>
      <c r="J465" s="18">
        <v>269252.37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14619062.189999999</v>
      </c>
      <c r="G468" s="18">
        <v>370471.02</v>
      </c>
      <c r="H468" s="18">
        <v>91340.78</v>
      </c>
      <c r="I468" s="18">
        <v>0</v>
      </c>
      <c r="J468" s="18">
        <v>808.88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>
        <v>5077.75</v>
      </c>
      <c r="G469" s="18">
        <v>921.43</v>
      </c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14624139.939999999</v>
      </c>
      <c r="G470" s="53">
        <f>SUM(G468:G469)</f>
        <v>371392.45</v>
      </c>
      <c r="H470" s="53">
        <f>SUM(H468:H469)</f>
        <v>91340.78</v>
      </c>
      <c r="I470" s="53">
        <f>SUM(I468:I469)</f>
        <v>0</v>
      </c>
      <c r="J470" s="53">
        <f>SUM(J468:J469)</f>
        <v>808.88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14519908.57</v>
      </c>
      <c r="G472" s="18">
        <v>376184.45</v>
      </c>
      <c r="H472" s="18">
        <v>81750.61</v>
      </c>
      <c r="I472" s="18">
        <v>0</v>
      </c>
      <c r="J472" s="18">
        <v>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>
        <v>6186.02</v>
      </c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14526094.59</v>
      </c>
      <c r="G474" s="53">
        <f>SUM(G472:G473)</f>
        <v>376184.45</v>
      </c>
      <c r="H474" s="53">
        <f>SUM(H472:H473)</f>
        <v>81750.61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461354.04999999888</v>
      </c>
      <c r="G476" s="53">
        <f>(G465+G470)- G474</f>
        <v>138255.26999999996</v>
      </c>
      <c r="H476" s="53">
        <f>(H465+H470)- H474</f>
        <v>9590.1699999999983</v>
      </c>
      <c r="I476" s="53">
        <f>(I465+I470)- I474</f>
        <v>0</v>
      </c>
      <c r="J476" s="53">
        <f>(J465+J470)- J474</f>
        <v>270061.25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 t="s">
        <v>913</v>
      </c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 t="s">
        <v>915</v>
      </c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 t="s">
        <v>914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917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916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10217500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1.88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8190000</v>
      </c>
      <c r="G495" s="18"/>
      <c r="H495" s="18"/>
      <c r="I495" s="18"/>
      <c r="J495" s="18"/>
      <c r="K495" s="53">
        <f>SUM(F495:J495)</f>
        <v>8190000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910000</v>
      </c>
      <c r="G497" s="18">
        <v>0</v>
      </c>
      <c r="H497" s="18"/>
      <c r="I497" s="18"/>
      <c r="J497" s="18"/>
      <c r="K497" s="53">
        <f t="shared" si="35"/>
        <v>910000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7280000</v>
      </c>
      <c r="G498" s="204"/>
      <c r="H498" s="204"/>
      <c r="I498" s="204"/>
      <c r="J498" s="204"/>
      <c r="K498" s="205">
        <f t="shared" si="35"/>
        <v>7280000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547456</v>
      </c>
      <c r="G499" s="18"/>
      <c r="H499" s="18"/>
      <c r="I499" s="18"/>
      <c r="J499" s="18"/>
      <c r="K499" s="53">
        <f t="shared" si="35"/>
        <v>547456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7827456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7827456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910000</v>
      </c>
      <c r="G501" s="204"/>
      <c r="H501" s="204"/>
      <c r="I501" s="204"/>
      <c r="J501" s="204"/>
      <c r="K501" s="205">
        <f t="shared" si="35"/>
        <v>910000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128310</v>
      </c>
      <c r="G502" s="18"/>
      <c r="H502" s="18"/>
      <c r="I502" s="18"/>
      <c r="J502" s="18"/>
      <c r="K502" s="53">
        <f t="shared" si="35"/>
        <v>128310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1038310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1038310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695762.16</v>
      </c>
      <c r="G521" s="18">
        <v>227101.17</v>
      </c>
      <c r="H521" s="18">
        <v>35378.050000000003</v>
      </c>
      <c r="I521" s="18">
        <v>12484.95</v>
      </c>
      <c r="J521" s="18">
        <v>6115.5</v>
      </c>
      <c r="K521" s="18">
        <v>4789.43</v>
      </c>
      <c r="L521" s="88">
        <f>SUM(F521:K521)</f>
        <v>981631.26000000013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635158.12</v>
      </c>
      <c r="G522" s="18">
        <v>223700.99</v>
      </c>
      <c r="H522" s="18">
        <v>149426.81</v>
      </c>
      <c r="I522" s="18">
        <v>7210.89</v>
      </c>
      <c r="J522" s="18">
        <v>5144.8</v>
      </c>
      <c r="K522" s="18">
        <v>3087.29</v>
      </c>
      <c r="L522" s="88">
        <f>SUM(F522:K522)</f>
        <v>1023728.9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>
        <v>0</v>
      </c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1330920.28</v>
      </c>
      <c r="G524" s="108">
        <f t="shared" ref="G524:L524" si="36">SUM(G521:G523)</f>
        <v>450802.16000000003</v>
      </c>
      <c r="H524" s="108">
        <f t="shared" si="36"/>
        <v>184804.86</v>
      </c>
      <c r="I524" s="108">
        <f t="shared" si="36"/>
        <v>19695.84</v>
      </c>
      <c r="J524" s="108">
        <f t="shared" si="36"/>
        <v>11260.3</v>
      </c>
      <c r="K524" s="108">
        <f t="shared" si="36"/>
        <v>7876.72</v>
      </c>
      <c r="L524" s="89">
        <f t="shared" si="36"/>
        <v>2005360.1600000001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168891.86</v>
      </c>
      <c r="G526" s="18">
        <v>101787.83</v>
      </c>
      <c r="H526" s="18">
        <v>44640.23</v>
      </c>
      <c r="I526" s="18">
        <v>2232.4299999999998</v>
      </c>
      <c r="J526" s="18">
        <v>1006.07</v>
      </c>
      <c r="K526" s="18">
        <v>0</v>
      </c>
      <c r="L526" s="88">
        <f>SUM(F526:K526)</f>
        <v>318558.42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49408.2</v>
      </c>
      <c r="G527" s="18">
        <v>32707.9</v>
      </c>
      <c r="H527" s="18">
        <v>56103.13</v>
      </c>
      <c r="I527" s="18">
        <v>734.28</v>
      </c>
      <c r="J527" s="18">
        <v>945.17</v>
      </c>
      <c r="K527" s="18">
        <v>0</v>
      </c>
      <c r="L527" s="88">
        <f>SUM(F527:K527)</f>
        <v>139898.68000000002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218300.06</v>
      </c>
      <c r="G529" s="89">
        <f t="shared" ref="G529:L529" si="37">SUM(G526:G528)</f>
        <v>134495.73000000001</v>
      </c>
      <c r="H529" s="89">
        <f t="shared" si="37"/>
        <v>100743.36</v>
      </c>
      <c r="I529" s="89">
        <f t="shared" si="37"/>
        <v>2966.71</v>
      </c>
      <c r="J529" s="89">
        <f t="shared" si="37"/>
        <v>1951.24</v>
      </c>
      <c r="K529" s="89">
        <f t="shared" si="37"/>
        <v>0</v>
      </c>
      <c r="L529" s="89">
        <f t="shared" si="37"/>
        <v>458457.1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21296.44</v>
      </c>
      <c r="G531" s="18">
        <v>4805.88</v>
      </c>
      <c r="H531" s="18"/>
      <c r="I531" s="18"/>
      <c r="J531" s="18"/>
      <c r="K531" s="18">
        <v>187.46</v>
      </c>
      <c r="L531" s="88">
        <f>SUM(F531:K531)</f>
        <v>26289.78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21296.44</v>
      </c>
      <c r="G532" s="18">
        <v>4805.88</v>
      </c>
      <c r="H532" s="18"/>
      <c r="I532" s="18"/>
      <c r="J532" s="18"/>
      <c r="K532" s="18">
        <v>187.46</v>
      </c>
      <c r="L532" s="88">
        <f>SUM(F532:K532)</f>
        <v>26289.78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42592.88</v>
      </c>
      <c r="G534" s="89">
        <f t="shared" ref="G534:L534" si="38">SUM(G531:G533)</f>
        <v>9611.76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374.92</v>
      </c>
      <c r="L534" s="89">
        <f t="shared" si="38"/>
        <v>52579.56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767.35</v>
      </c>
      <c r="I536" s="18"/>
      <c r="J536" s="18"/>
      <c r="K536" s="18"/>
      <c r="L536" s="88">
        <f>SUM(F536:K536)</f>
        <v>767.35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v>1437.7</v>
      </c>
      <c r="I537" s="18"/>
      <c r="J537" s="18"/>
      <c r="K537" s="18"/>
      <c r="L537" s="88">
        <f>SUM(F537:K537)</f>
        <v>1437.7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2205.0500000000002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2205.0500000000002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166479.23000000001</v>
      </c>
      <c r="I541" s="18"/>
      <c r="J541" s="18"/>
      <c r="K541" s="18"/>
      <c r="L541" s="88">
        <f>SUM(F541:K541)</f>
        <v>166479.23000000001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116706.92</v>
      </c>
      <c r="I542" s="18"/>
      <c r="J542" s="18"/>
      <c r="K542" s="18"/>
      <c r="L542" s="88">
        <f>SUM(F542:K542)</f>
        <v>116706.92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283186.15000000002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283186.15000000002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1591813.22</v>
      </c>
      <c r="G545" s="89">
        <f t="shared" ref="G545:L545" si="41">G524+G529+G534+G539+G544</f>
        <v>594909.65</v>
      </c>
      <c r="H545" s="89">
        <f t="shared" si="41"/>
        <v>570939.41999999993</v>
      </c>
      <c r="I545" s="89">
        <f t="shared" si="41"/>
        <v>22662.55</v>
      </c>
      <c r="J545" s="89">
        <f t="shared" si="41"/>
        <v>13211.539999999999</v>
      </c>
      <c r="K545" s="89">
        <f t="shared" si="41"/>
        <v>8251.64</v>
      </c>
      <c r="L545" s="89">
        <f t="shared" si="41"/>
        <v>2801788.02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981631.26000000013</v>
      </c>
      <c r="G549" s="87">
        <f>L526</f>
        <v>318558.42</v>
      </c>
      <c r="H549" s="87">
        <f>L531</f>
        <v>26289.78</v>
      </c>
      <c r="I549" s="87">
        <f>L536</f>
        <v>767.35</v>
      </c>
      <c r="J549" s="87">
        <f>L541</f>
        <v>166479.23000000001</v>
      </c>
      <c r="K549" s="87">
        <f>SUM(F549:J549)</f>
        <v>1493726.0400000003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1023728.9</v>
      </c>
      <c r="G550" s="87">
        <f>L527</f>
        <v>139898.68000000002</v>
      </c>
      <c r="H550" s="87">
        <f>L532</f>
        <v>26289.78</v>
      </c>
      <c r="I550" s="87">
        <f>L537</f>
        <v>1437.7</v>
      </c>
      <c r="J550" s="87">
        <f>L542</f>
        <v>116706.92</v>
      </c>
      <c r="K550" s="87">
        <f>SUM(F550:J550)</f>
        <v>1308061.98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2005360.1600000001</v>
      </c>
      <c r="G552" s="89">
        <f t="shared" si="42"/>
        <v>458457.1</v>
      </c>
      <c r="H552" s="89">
        <f t="shared" si="42"/>
        <v>52579.56</v>
      </c>
      <c r="I552" s="89">
        <f t="shared" si="42"/>
        <v>2205.0500000000002</v>
      </c>
      <c r="J552" s="89">
        <f t="shared" si="42"/>
        <v>283186.15000000002</v>
      </c>
      <c r="K552" s="89">
        <f t="shared" si="42"/>
        <v>2801788.0200000005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1252.5</v>
      </c>
      <c r="G562" s="18">
        <v>276.18</v>
      </c>
      <c r="H562" s="18">
        <v>177.26</v>
      </c>
      <c r="I562" s="18">
        <v>0</v>
      </c>
      <c r="J562" s="18">
        <v>0</v>
      </c>
      <c r="K562" s="18">
        <v>0</v>
      </c>
      <c r="L562" s="88">
        <f>SUM(F562:K562)</f>
        <v>1705.94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v>615</v>
      </c>
      <c r="G563" s="18">
        <v>90.4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705.4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1867.5</v>
      </c>
      <c r="G565" s="89">
        <f t="shared" si="44"/>
        <v>366.58000000000004</v>
      </c>
      <c r="H565" s="89">
        <f t="shared" si="44"/>
        <v>177.26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2411.34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>
        <v>49440</v>
      </c>
      <c r="G567" s="18">
        <v>17995.54</v>
      </c>
      <c r="H567" s="18">
        <v>0</v>
      </c>
      <c r="I567" s="18">
        <v>4292.8</v>
      </c>
      <c r="J567" s="18">
        <v>0</v>
      </c>
      <c r="K567" s="18">
        <v>0</v>
      </c>
      <c r="L567" s="88">
        <f>SUM(F567:K567)</f>
        <v>71728.340000000011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>
        <v>49670</v>
      </c>
      <c r="G568" s="18">
        <v>34102.839999999997</v>
      </c>
      <c r="H568" s="18">
        <v>0</v>
      </c>
      <c r="I568" s="18">
        <v>1539.64</v>
      </c>
      <c r="J568" s="18">
        <v>0</v>
      </c>
      <c r="K568" s="18">
        <v>0</v>
      </c>
      <c r="L568" s="88">
        <f>SUM(F568:K568)</f>
        <v>85312.48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99110</v>
      </c>
      <c r="G570" s="193">
        <f t="shared" ref="G570:L570" si="45">SUM(G567:G569)</f>
        <v>52098.38</v>
      </c>
      <c r="H570" s="193">
        <f t="shared" si="45"/>
        <v>0</v>
      </c>
      <c r="I570" s="193">
        <f t="shared" si="45"/>
        <v>5832.4400000000005</v>
      </c>
      <c r="J570" s="193">
        <f t="shared" si="45"/>
        <v>0</v>
      </c>
      <c r="K570" s="193">
        <f t="shared" si="45"/>
        <v>0</v>
      </c>
      <c r="L570" s="193">
        <f t="shared" si="45"/>
        <v>157040.82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100977.5</v>
      </c>
      <c r="G571" s="89">
        <f t="shared" ref="G571:L571" si="46">G560+G565+G570</f>
        <v>52464.959999999999</v>
      </c>
      <c r="H571" s="89">
        <f t="shared" si="46"/>
        <v>177.26</v>
      </c>
      <c r="I571" s="89">
        <f t="shared" si="46"/>
        <v>5832.4400000000005</v>
      </c>
      <c r="J571" s="89">
        <f t="shared" si="46"/>
        <v>0</v>
      </c>
      <c r="K571" s="89">
        <f t="shared" si="46"/>
        <v>0</v>
      </c>
      <c r="L571" s="89">
        <f t="shared" si="46"/>
        <v>159452.16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>
        <v>0</v>
      </c>
      <c r="G575" s="18">
        <v>0</v>
      </c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>
        <v>0</v>
      </c>
      <c r="G576" s="18">
        <v>0</v>
      </c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>
        <v>0</v>
      </c>
      <c r="G578" s="18">
        <v>0</v>
      </c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0</v>
      </c>
      <c r="G579" s="18">
        <v>0</v>
      </c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>
        <v>0</v>
      </c>
      <c r="G580" s="18">
        <v>0</v>
      </c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9703.2000000000007</v>
      </c>
      <c r="G582" s="18">
        <v>143274.57999999999</v>
      </c>
      <c r="H582" s="18"/>
      <c r="I582" s="87">
        <f t="shared" si="47"/>
        <v>152977.78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>
        <v>0</v>
      </c>
      <c r="G583" s="18">
        <v>0</v>
      </c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>
        <v>0</v>
      </c>
      <c r="G584" s="18">
        <v>0</v>
      </c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>
        <v>0</v>
      </c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>
        <v>0</v>
      </c>
      <c r="G587" s="18">
        <v>0</v>
      </c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278276.01</v>
      </c>
      <c r="I591" s="18">
        <v>266575.12</v>
      </c>
      <c r="J591" s="18"/>
      <c r="K591" s="104">
        <f t="shared" ref="K591:K597" si="48">SUM(H591:J591)</f>
        <v>544851.13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166479.23000000001</v>
      </c>
      <c r="I592" s="18">
        <v>116706.92</v>
      </c>
      <c r="J592" s="18"/>
      <c r="K592" s="104">
        <f t="shared" si="48"/>
        <v>283186.15000000002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0</v>
      </c>
      <c r="I594" s="18">
        <v>12559.77</v>
      </c>
      <c r="J594" s="18"/>
      <c r="K594" s="104">
        <f t="shared" si="48"/>
        <v>12559.77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376.96</v>
      </c>
      <c r="I595" s="18">
        <v>109</v>
      </c>
      <c r="J595" s="18"/>
      <c r="K595" s="104">
        <f t="shared" si="48"/>
        <v>485.96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6513.12</v>
      </c>
      <c r="I597" s="18">
        <v>4251</v>
      </c>
      <c r="J597" s="18"/>
      <c r="K597" s="104">
        <f t="shared" si="48"/>
        <v>10764.119999999999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451645.32</v>
      </c>
      <c r="I598" s="108">
        <f>SUM(I591:I597)</f>
        <v>400201.81</v>
      </c>
      <c r="J598" s="108">
        <f>SUM(J591:J597)</f>
        <v>0</v>
      </c>
      <c r="K598" s="108">
        <f>SUM(K591:K597)</f>
        <v>851847.13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>
        <v>0</v>
      </c>
      <c r="I602" s="18">
        <v>0</v>
      </c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>
        <v>0</v>
      </c>
      <c r="I603" s="18">
        <v>0</v>
      </c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166909.5</v>
      </c>
      <c r="I604" s="18">
        <v>147536.57999999999</v>
      </c>
      <c r="J604" s="18"/>
      <c r="K604" s="104">
        <f>SUM(H604:J604)</f>
        <v>314446.07999999996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166909.5</v>
      </c>
      <c r="I605" s="108">
        <f>SUM(I602:I604)</f>
        <v>147536.57999999999</v>
      </c>
      <c r="J605" s="108">
        <f>SUM(J602:J604)</f>
        <v>0</v>
      </c>
      <c r="K605" s="108">
        <f>SUM(K602:K604)</f>
        <v>314446.07999999996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5992.6</v>
      </c>
      <c r="G611" s="18">
        <v>932.45</v>
      </c>
      <c r="H611" s="18">
        <v>1839.67</v>
      </c>
      <c r="I611" s="18">
        <v>0</v>
      </c>
      <c r="J611" s="18">
        <v>0</v>
      </c>
      <c r="K611" s="18">
        <v>0</v>
      </c>
      <c r="L611" s="88">
        <f>SUM(F611:K611)</f>
        <v>8764.7200000000012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v>10907.4</v>
      </c>
      <c r="G612" s="18">
        <v>2077.16</v>
      </c>
      <c r="H612" s="18">
        <v>1840</v>
      </c>
      <c r="I612" s="18">
        <v>0</v>
      </c>
      <c r="J612" s="18">
        <v>0</v>
      </c>
      <c r="K612" s="18"/>
      <c r="L612" s="88">
        <f>SUM(F612:K612)</f>
        <v>14824.56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16900</v>
      </c>
      <c r="G614" s="108">
        <f t="shared" si="49"/>
        <v>3009.6099999999997</v>
      </c>
      <c r="H614" s="108">
        <f t="shared" si="49"/>
        <v>3679.67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23589.279999999999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545580.02999999991</v>
      </c>
      <c r="H617" s="109">
        <f>SUM(F52)</f>
        <v>545580.03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163517.46000000002</v>
      </c>
      <c r="H618" s="109">
        <f>SUM(G52)</f>
        <v>163517.46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11387.769999999997</v>
      </c>
      <c r="H619" s="109">
        <f>SUM(H52)</f>
        <v>11387.77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270061.25</v>
      </c>
      <c r="H621" s="109">
        <f>SUM(J52)</f>
        <v>270061.25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461354.05</v>
      </c>
      <c r="H622" s="109">
        <f>F476</f>
        <v>461354.04999999888</v>
      </c>
      <c r="I622" s="121" t="s">
        <v>101</v>
      </c>
      <c r="J622" s="109">
        <f t="shared" ref="J622:J655" si="50">G622-H622</f>
        <v>1.1059455573558807E-9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138255.26999999999</v>
      </c>
      <c r="H623" s="109">
        <f>G476</f>
        <v>138255.26999999996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9590.17</v>
      </c>
      <c r="H624" s="109">
        <f>H476</f>
        <v>9590.1699999999983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270061.25</v>
      </c>
      <c r="H626" s="109">
        <f>J476</f>
        <v>270061.25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14619062.190000001</v>
      </c>
      <c r="H627" s="104">
        <f>SUM(F468)</f>
        <v>14619062.189999999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370471.02</v>
      </c>
      <c r="H628" s="104">
        <f>SUM(G468)</f>
        <v>370471.02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91340.78</v>
      </c>
      <c r="H629" s="104">
        <f>SUM(H468)</f>
        <v>91340.78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808.88</v>
      </c>
      <c r="H631" s="104">
        <f>SUM(J468)</f>
        <v>808.88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14519908.57</v>
      </c>
      <c r="H632" s="104">
        <f>SUM(F472)</f>
        <v>14519908.57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81750.61</v>
      </c>
      <c r="H633" s="104">
        <f>SUM(H472)</f>
        <v>81750.61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376184.45</v>
      </c>
      <c r="H635" s="104">
        <f>SUM(G472)</f>
        <v>376184.45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808.88</v>
      </c>
      <c r="H637" s="164">
        <f>SUM(J468)</f>
        <v>808.88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270061.25</v>
      </c>
      <c r="H640" s="104">
        <f>SUM(G461)</f>
        <v>270061.25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270061.25</v>
      </c>
      <c r="H642" s="104">
        <f>SUM(I461)</f>
        <v>270061.25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808.88</v>
      </c>
      <c r="H644" s="104">
        <f>H408</f>
        <v>808.88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808.88</v>
      </c>
      <c r="H646" s="104">
        <f>L408</f>
        <v>808.88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851847.13</v>
      </c>
      <c r="H647" s="104">
        <f>L208+L226+L244</f>
        <v>851847.13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314446.07999999996</v>
      </c>
      <c r="H648" s="104">
        <f>(J257+J338)-(J255+J336)</f>
        <v>314446.08000000002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451645.32</v>
      </c>
      <c r="H649" s="104">
        <f>H598</f>
        <v>451645.32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400201.81</v>
      </c>
      <c r="H650" s="104">
        <f>I598</f>
        <v>400201.81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0</v>
      </c>
      <c r="H651" s="104">
        <f>J598</f>
        <v>0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7665136.6000000015</v>
      </c>
      <c r="G660" s="19">
        <f>(L229+L309+L359)</f>
        <v>6257289.0299999993</v>
      </c>
      <c r="H660" s="19">
        <f>(L247+L328+L360)</f>
        <v>0</v>
      </c>
      <c r="I660" s="19">
        <f>SUM(F660:H660)</f>
        <v>13922425.630000001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103785.33744863723</v>
      </c>
      <c r="G661" s="19">
        <f>(L359/IF(SUM(L358:L360)=0,1,SUM(L358:L360))*(SUM(G97:G110)))</f>
        <v>119851.91255136278</v>
      </c>
      <c r="H661" s="19">
        <f>(L360/IF(SUM(L358:L360)=0,1,SUM(L358:L360))*(SUM(G97:G110)))</f>
        <v>0</v>
      </c>
      <c r="I661" s="19">
        <f>SUM(F661:H661)</f>
        <v>223637.25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451645.32</v>
      </c>
      <c r="G662" s="19">
        <f>(L226+L306)-(J226+J306)</f>
        <v>400201.81</v>
      </c>
      <c r="H662" s="19">
        <f>(L244+L325)-(J244+J325)</f>
        <v>0</v>
      </c>
      <c r="I662" s="19">
        <f>SUM(F662:H662)</f>
        <v>851847.13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185377.42</v>
      </c>
      <c r="G663" s="199">
        <f>SUM(G575:G587)+SUM(I602:I604)+L612</f>
        <v>305635.71999999997</v>
      </c>
      <c r="H663" s="199">
        <f>SUM(H575:H587)+SUM(J602:J604)+L613</f>
        <v>0</v>
      </c>
      <c r="I663" s="19">
        <f>SUM(F663:H663)</f>
        <v>491013.14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6924328.5225513643</v>
      </c>
      <c r="G664" s="19">
        <f>G660-SUM(G661:G663)</f>
        <v>5431599.5874486361</v>
      </c>
      <c r="H664" s="19">
        <f>H660-SUM(H661:H663)</f>
        <v>0</v>
      </c>
      <c r="I664" s="19">
        <f>I660-SUM(I661:I663)</f>
        <v>12355928.110000001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611.94000000000005</v>
      </c>
      <c r="G665" s="248">
        <v>352.36</v>
      </c>
      <c r="H665" s="248"/>
      <c r="I665" s="19">
        <f>SUM(F665:H665)</f>
        <v>964.30000000000007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11315.37</v>
      </c>
      <c r="G667" s="19">
        <f>ROUND(G664/G665,2)</f>
        <v>15414.92</v>
      </c>
      <c r="H667" s="19" t="e">
        <f>ROUND(H664/H665,2)</f>
        <v>#DIV/0!</v>
      </c>
      <c r="I667" s="19">
        <f>ROUND(I664/I665,2)</f>
        <v>12813.37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11315.37</v>
      </c>
      <c r="G672" s="19">
        <f>ROUND((G664+G669)/(G665+G670),2)</f>
        <v>15414.92</v>
      </c>
      <c r="H672" s="19" t="e">
        <f>ROUND((H664+H669)/(H665+H670),2)</f>
        <v>#DIV/0!</v>
      </c>
      <c r="I672" s="19">
        <f>ROUND((I664+I669)/(I665+I670),2)</f>
        <v>12813.37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.3" right="0.3" top="0.45" bottom="0.56000000000000005" header="0.3" footer="0.33"/>
  <pageSetup scale="8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WEARE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3392944.4099999997</v>
      </c>
      <c r="C9" s="229">
        <f>'DOE25'!G197+'DOE25'!G215+'DOE25'!G233+'DOE25'!G276+'DOE25'!G295+'DOE25'!G314</f>
        <v>1823782.9000000001</v>
      </c>
    </row>
    <row r="10" spans="1:3" x14ac:dyDescent="0.2">
      <c r="A10" t="s">
        <v>773</v>
      </c>
      <c r="B10" s="240">
        <v>3105062.21</v>
      </c>
      <c r="C10" s="240">
        <v>1798691.83</v>
      </c>
    </row>
    <row r="11" spans="1:3" x14ac:dyDescent="0.2">
      <c r="A11" t="s">
        <v>774</v>
      </c>
      <c r="B11" s="240">
        <v>131265.01999999999</v>
      </c>
      <c r="C11" s="240">
        <v>12973.67</v>
      </c>
    </row>
    <row r="12" spans="1:3" x14ac:dyDescent="0.2">
      <c r="A12" t="s">
        <v>775</v>
      </c>
      <c r="B12" s="240">
        <v>156617.18</v>
      </c>
      <c r="C12" s="240">
        <v>12117.4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3392944.41</v>
      </c>
      <c r="C13" s="231">
        <f>SUM(C10:C12)</f>
        <v>1823782.9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1598602.17</v>
      </c>
      <c r="C18" s="229">
        <f>'DOE25'!G198+'DOE25'!G216+'DOE25'!G234+'DOE25'!G277+'DOE25'!G296+'DOE25'!G315</f>
        <v>520972.67</v>
      </c>
    </row>
    <row r="19" spans="1:3" x14ac:dyDescent="0.2">
      <c r="A19" t="s">
        <v>773</v>
      </c>
      <c r="B19" s="240">
        <v>811234.67</v>
      </c>
      <c r="C19" s="240">
        <v>458927.17</v>
      </c>
    </row>
    <row r="20" spans="1:3" x14ac:dyDescent="0.2">
      <c r="A20" t="s">
        <v>774</v>
      </c>
      <c r="B20" s="240">
        <v>759673.53</v>
      </c>
      <c r="C20" s="240">
        <v>57773.71</v>
      </c>
    </row>
    <row r="21" spans="1:3" x14ac:dyDescent="0.2">
      <c r="A21" t="s">
        <v>775</v>
      </c>
      <c r="B21" s="240">
        <v>27693.97</v>
      </c>
      <c r="C21" s="240">
        <v>4271.79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1598602.1700000002</v>
      </c>
      <c r="C22" s="231">
        <f>SUM(C19:C21)</f>
        <v>520972.67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63041.759999999995</v>
      </c>
      <c r="C36" s="235">
        <f>'DOE25'!G200+'DOE25'!G218+'DOE25'!G236+'DOE25'!G279+'DOE25'!G298+'DOE25'!G317</f>
        <v>13467.130000000001</v>
      </c>
    </row>
    <row r="37" spans="1:3" x14ac:dyDescent="0.2">
      <c r="A37" t="s">
        <v>773</v>
      </c>
      <c r="B37" s="240">
        <v>54413.98</v>
      </c>
      <c r="C37" s="240">
        <v>9022.98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8627.7800000000007</v>
      </c>
      <c r="C39" s="240">
        <v>4444.1499999999996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63041.760000000002</v>
      </c>
      <c r="C40" s="231">
        <f>SUM(C37:C39)</f>
        <v>13467.13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WEARE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8131255.8700000001</v>
      </c>
      <c r="D5" s="20">
        <f>SUM('DOE25'!L197:L200)+SUM('DOE25'!L215:L218)+SUM('DOE25'!L233:L236)-F5-G5</f>
        <v>8077851.1200000001</v>
      </c>
      <c r="E5" s="243"/>
      <c r="F5" s="255">
        <f>SUM('DOE25'!J197:J200)+SUM('DOE25'!J215:J218)+SUM('DOE25'!J233:J236)</f>
        <v>37744.620000000003</v>
      </c>
      <c r="G5" s="53">
        <f>SUM('DOE25'!K197:K200)+SUM('DOE25'!K215:K218)+SUM('DOE25'!K233:K236)</f>
        <v>15660.130000000001</v>
      </c>
      <c r="H5" s="259"/>
    </row>
    <row r="6" spans="1:9" x14ac:dyDescent="0.2">
      <c r="A6" s="32">
        <v>2100</v>
      </c>
      <c r="B6" t="s">
        <v>795</v>
      </c>
      <c r="C6" s="245">
        <f t="shared" si="0"/>
        <v>971851.40999999992</v>
      </c>
      <c r="D6" s="20">
        <f>'DOE25'!L202+'DOE25'!L220+'DOE25'!L238-F6-G6</f>
        <v>969616.16999999993</v>
      </c>
      <c r="E6" s="243"/>
      <c r="F6" s="255">
        <f>'DOE25'!J202+'DOE25'!J220+'DOE25'!J238</f>
        <v>2235.2399999999998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835867.95</v>
      </c>
      <c r="D7" s="20">
        <f>'DOE25'!L203+'DOE25'!L221+'DOE25'!L239-F7-G7</f>
        <v>517339.83999999991</v>
      </c>
      <c r="E7" s="243"/>
      <c r="F7" s="255">
        <f>'DOE25'!J203+'DOE25'!J221+'DOE25'!J239</f>
        <v>250784.06</v>
      </c>
      <c r="G7" s="53">
        <f>'DOE25'!K203+'DOE25'!K221+'DOE25'!K239</f>
        <v>67744.05</v>
      </c>
      <c r="H7" s="259"/>
    </row>
    <row r="8" spans="1:9" x14ac:dyDescent="0.2">
      <c r="A8" s="32">
        <v>2300</v>
      </c>
      <c r="B8" t="s">
        <v>796</v>
      </c>
      <c r="C8" s="245">
        <f t="shared" si="0"/>
        <v>377271.52999999997</v>
      </c>
      <c r="D8" s="243"/>
      <c r="E8" s="20">
        <f>'DOE25'!L204+'DOE25'!L222+'DOE25'!L240-F8-G8-D9-D11</f>
        <v>362536.58999999997</v>
      </c>
      <c r="F8" s="255">
        <f>'DOE25'!J204+'DOE25'!J222+'DOE25'!J240</f>
        <v>0</v>
      </c>
      <c r="G8" s="53">
        <f>'DOE25'!K204+'DOE25'!K222+'DOE25'!K240</f>
        <v>14734.94</v>
      </c>
      <c r="H8" s="259"/>
    </row>
    <row r="9" spans="1:9" x14ac:dyDescent="0.2">
      <c r="A9" s="32">
        <v>2310</v>
      </c>
      <c r="B9" t="s">
        <v>812</v>
      </c>
      <c r="C9" s="245">
        <f t="shared" si="0"/>
        <v>78097.210000000006</v>
      </c>
      <c r="D9" s="244">
        <v>78097.210000000006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10350</v>
      </c>
      <c r="D10" s="243"/>
      <c r="E10" s="244">
        <v>10350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167137.53</v>
      </c>
      <c r="D11" s="244">
        <v>167137.53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867695.49</v>
      </c>
      <c r="D12" s="20">
        <f>'DOE25'!L205+'DOE25'!L223+'DOE25'!L241-F12-G12</f>
        <v>864967.09</v>
      </c>
      <c r="E12" s="243"/>
      <c r="F12" s="255">
        <f>'DOE25'!J205+'DOE25'!J223+'DOE25'!J241</f>
        <v>493.4</v>
      </c>
      <c r="G12" s="53">
        <f>'DOE25'!K205+'DOE25'!K223+'DOE25'!K241</f>
        <v>2235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1183466.45</v>
      </c>
      <c r="D14" s="20">
        <f>'DOE25'!L207+'DOE25'!L225+'DOE25'!L243-F14-G14</f>
        <v>1173396.49</v>
      </c>
      <c r="E14" s="243"/>
      <c r="F14" s="255">
        <f>'DOE25'!J207+'DOE25'!J225+'DOE25'!J243</f>
        <v>10069.959999999999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851847.13</v>
      </c>
      <c r="D15" s="20">
        <f>'DOE25'!L208+'DOE25'!L226+'DOE25'!L244-F15-G15</f>
        <v>851847.13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1055418</v>
      </c>
      <c r="D25" s="243"/>
      <c r="E25" s="243"/>
      <c r="F25" s="258"/>
      <c r="G25" s="256"/>
      <c r="H25" s="257">
        <f>'DOE25'!L260+'DOE25'!L261+'DOE25'!L341+'DOE25'!L342</f>
        <v>1055418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376184.45</v>
      </c>
      <c r="D29" s="20">
        <f>'DOE25'!L358+'DOE25'!L359+'DOE25'!L360-'DOE25'!I367-F29-G29</f>
        <v>340967.19</v>
      </c>
      <c r="E29" s="243"/>
      <c r="F29" s="255">
        <f>'DOE25'!J358+'DOE25'!J359+'DOE25'!J360</f>
        <v>33906.94</v>
      </c>
      <c r="G29" s="53">
        <f>'DOE25'!K358+'DOE25'!K359+'DOE25'!K360</f>
        <v>1310.3200000000002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81750.61</v>
      </c>
      <c r="D31" s="20">
        <f>'DOE25'!L290+'DOE25'!L309+'DOE25'!L328+'DOE25'!L333+'DOE25'!L334+'DOE25'!L335-F31-G31</f>
        <v>67138.509999999995</v>
      </c>
      <c r="E31" s="243"/>
      <c r="F31" s="255">
        <f>'DOE25'!J290+'DOE25'!J309+'DOE25'!J328+'DOE25'!J333+'DOE25'!J334+'DOE25'!J335</f>
        <v>13118.8</v>
      </c>
      <c r="G31" s="53">
        <f>'DOE25'!K290+'DOE25'!K309+'DOE25'!K328+'DOE25'!K333+'DOE25'!K334+'DOE25'!K335</f>
        <v>1493.3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13108358.279999999</v>
      </c>
      <c r="E33" s="246">
        <f>SUM(E5:E31)</f>
        <v>372886.58999999997</v>
      </c>
      <c r="F33" s="246">
        <f>SUM(F5:F31)</f>
        <v>348353.02</v>
      </c>
      <c r="G33" s="246">
        <f>SUM(G5:G31)</f>
        <v>103177.74000000002</v>
      </c>
      <c r="H33" s="246">
        <f>SUM(H5:H31)</f>
        <v>1055418</v>
      </c>
    </row>
    <row r="35" spans="2:8" ht="12" thickBot="1" x14ac:dyDescent="0.25">
      <c r="B35" s="253" t="s">
        <v>841</v>
      </c>
      <c r="D35" s="254">
        <f>E33</f>
        <v>372886.58999999997</v>
      </c>
      <c r="E35" s="249"/>
    </row>
    <row r="36" spans="2:8" ht="12" thickTop="1" x14ac:dyDescent="0.2">
      <c r="B36" t="s">
        <v>809</v>
      </c>
      <c r="D36" s="20">
        <f>D33</f>
        <v>13108358.279999999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WEARE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499286.55</v>
      </c>
      <c r="D8" s="95">
        <f>'DOE25'!G9</f>
        <v>95662.16</v>
      </c>
      <c r="E8" s="95">
        <f>'DOE25'!H9</f>
        <v>-24753.360000000001</v>
      </c>
      <c r="F8" s="95">
        <f>'DOE25'!I9</f>
        <v>0</v>
      </c>
      <c r="G8" s="95">
        <f>'DOE25'!J9</f>
        <v>270061.25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2305.7399999999998</v>
      </c>
      <c r="D11" s="95">
        <f>'DOE25'!G12</f>
        <v>2305.7399999999998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42193.17</v>
      </c>
      <c r="D12" s="95">
        <f>'DOE25'!G13</f>
        <v>65549.56</v>
      </c>
      <c r="E12" s="95">
        <f>'DOE25'!H13</f>
        <v>36141.129999999997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1794.57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545580.02999999991</v>
      </c>
      <c r="D18" s="41">
        <f>SUM(D8:D17)</f>
        <v>163517.46000000002</v>
      </c>
      <c r="E18" s="41">
        <f>SUM(E8:E17)</f>
        <v>11387.769999999997</v>
      </c>
      <c r="F18" s="41">
        <f>SUM(F8:F17)</f>
        <v>0</v>
      </c>
      <c r="G18" s="41">
        <f>SUM(G8:G17)</f>
        <v>270061.25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38247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10427.4</v>
      </c>
      <c r="D24" s="95">
        <f>'DOE25'!G25</f>
        <v>16157.15</v>
      </c>
      <c r="E24" s="95">
        <f>'DOE25'!H25</f>
        <v>1797.6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16137.33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19414.25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9105.0400000000009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84225.98000000001</v>
      </c>
      <c r="D31" s="41">
        <f>SUM(D21:D30)</f>
        <v>25262.190000000002</v>
      </c>
      <c r="E31" s="41">
        <f>SUM(E21:E30)</f>
        <v>1797.6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138255.26999999999</v>
      </c>
      <c r="E47" s="95">
        <f>'DOE25'!H48</f>
        <v>9590.17</v>
      </c>
      <c r="F47" s="95">
        <f>'DOE25'!I48</f>
        <v>0</v>
      </c>
      <c r="G47" s="95">
        <f>'DOE25'!J48</f>
        <v>270061.25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461354.05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461354.05</v>
      </c>
      <c r="D50" s="41">
        <f>SUM(D34:D49)</f>
        <v>138255.26999999999</v>
      </c>
      <c r="E50" s="41">
        <f>SUM(E34:E49)</f>
        <v>9590.17</v>
      </c>
      <c r="F50" s="41">
        <f>SUM(F34:F49)</f>
        <v>0</v>
      </c>
      <c r="G50" s="41">
        <f>SUM(G34:G49)</f>
        <v>270061.25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545580.03</v>
      </c>
      <c r="D51" s="41">
        <f>D50+D31</f>
        <v>163517.46</v>
      </c>
      <c r="E51" s="41">
        <f>E50+E31</f>
        <v>11387.77</v>
      </c>
      <c r="F51" s="41">
        <f>F50+F31</f>
        <v>0</v>
      </c>
      <c r="G51" s="41">
        <f>G50+G31</f>
        <v>270061.25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7874649</v>
      </c>
      <c r="D56" s="95">
        <f>'DOE25'!G60</f>
        <v>26986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12265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83338.7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4964.6499999999996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808.88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222321.49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27409.630000000005</v>
      </c>
      <c r="D61" s="95">
        <f>SUM('DOE25'!G98:G110)</f>
        <v>1315.76</v>
      </c>
      <c r="E61" s="95">
        <f>SUM('DOE25'!H98:H110)</f>
        <v>38118.800000000003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127977.98</v>
      </c>
      <c r="D62" s="130">
        <f>SUM(D57:D61)</f>
        <v>223637.25</v>
      </c>
      <c r="E62" s="130">
        <f>SUM(E57:E61)</f>
        <v>38118.800000000003</v>
      </c>
      <c r="F62" s="130">
        <f>SUM(F57:F61)</f>
        <v>0</v>
      </c>
      <c r="G62" s="130">
        <f>SUM(G57:G61)</f>
        <v>808.88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8002626.9800000004</v>
      </c>
      <c r="D63" s="22">
        <f>D56+D62</f>
        <v>250623.25</v>
      </c>
      <c r="E63" s="22">
        <f>E56+E62</f>
        <v>38118.800000000003</v>
      </c>
      <c r="F63" s="22">
        <f>F56+F62</f>
        <v>0</v>
      </c>
      <c r="G63" s="22">
        <f>G56+G62</f>
        <v>808.88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4915862.38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1157132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24370.32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6097364.7000000002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369686.39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42199.23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5113.54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411885.62</v>
      </c>
      <c r="D78" s="130">
        <f>SUM(D72:D77)</f>
        <v>5113.54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6509250.3200000003</v>
      </c>
      <c r="D81" s="130">
        <f>SUM(D79:D80)+D78+D70</f>
        <v>5113.54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107184.89</v>
      </c>
      <c r="D88" s="95">
        <f>SUM('DOE25'!G153:G161)</f>
        <v>114734.23</v>
      </c>
      <c r="E88" s="95">
        <f>SUM('DOE25'!H153:H161)</f>
        <v>53221.98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107184.89</v>
      </c>
      <c r="D91" s="131">
        <f>SUM(D85:D90)</f>
        <v>114734.23</v>
      </c>
      <c r="E91" s="131">
        <f>SUM(E85:E90)</f>
        <v>53221.98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14619062.190000001</v>
      </c>
      <c r="D104" s="86">
        <f>D63+D81+D91+D103</f>
        <v>370471.02</v>
      </c>
      <c r="E104" s="86">
        <f>E63+E81+E91+E103</f>
        <v>91340.78</v>
      </c>
      <c r="F104" s="86">
        <f>F63+F81+F91+F103</f>
        <v>0</v>
      </c>
      <c r="G104" s="86">
        <f>G63+G81+G103</f>
        <v>808.88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5592287.9699999997</v>
      </c>
      <c r="D109" s="24" t="s">
        <v>286</v>
      </c>
      <c r="E109" s="95">
        <f>('DOE25'!L276)+('DOE25'!L295)+('DOE25'!L314)</f>
        <v>16420.98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2365707.3400000003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88559.27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84701.290000000008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8131255.8700000001</v>
      </c>
      <c r="D115" s="86">
        <f>SUM(D109:D114)</f>
        <v>0</v>
      </c>
      <c r="E115" s="86">
        <f>SUM(E109:E114)</f>
        <v>16420.98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971851.40999999992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835867.95</v>
      </c>
      <c r="D119" s="24" t="s">
        <v>286</v>
      </c>
      <c r="E119" s="95">
        <f>+('DOE25'!L282)+('DOE25'!L301)+('DOE25'!L320)</f>
        <v>52210.829999999994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622506.2699999999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867695.49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1183466.45</v>
      </c>
      <c r="D123" s="24" t="s">
        <v>286</v>
      </c>
      <c r="E123" s="95">
        <f>+('DOE25'!L286)+('DOE25'!L305)+('DOE25'!L324)</f>
        <v>13118.8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851847.13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376184.45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5333234.7</v>
      </c>
      <c r="D128" s="86">
        <f>SUM(D118:D127)</f>
        <v>376184.45</v>
      </c>
      <c r="E128" s="86">
        <f>SUM(E118:E127)</f>
        <v>65329.62999999999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910000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145418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170.13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638.75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-808.88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1055418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14519908.57</v>
      </c>
      <c r="D145" s="86">
        <f>(D115+D128+D144)</f>
        <v>376184.45</v>
      </c>
      <c r="E145" s="86">
        <f>(E115+E128+E144)</f>
        <v>81750.609999999986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8/1/2015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6/30/2026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10217500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1.88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8190000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8190000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910000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910000</v>
      </c>
    </row>
    <row r="159" spans="1:9" x14ac:dyDescent="0.2">
      <c r="A159" s="22" t="s">
        <v>35</v>
      </c>
      <c r="B159" s="137">
        <f>'DOE25'!F498</f>
        <v>7280000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7280000</v>
      </c>
    </row>
    <row r="160" spans="1:9" x14ac:dyDescent="0.2">
      <c r="A160" s="22" t="s">
        <v>36</v>
      </c>
      <c r="B160" s="137">
        <f>'DOE25'!F499</f>
        <v>547456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547456</v>
      </c>
    </row>
    <row r="161" spans="1:7" x14ac:dyDescent="0.2">
      <c r="A161" s="22" t="s">
        <v>37</v>
      </c>
      <c r="B161" s="137">
        <f>'DOE25'!F500</f>
        <v>7827456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7827456</v>
      </c>
    </row>
    <row r="162" spans="1:7" x14ac:dyDescent="0.2">
      <c r="A162" s="22" t="s">
        <v>38</v>
      </c>
      <c r="B162" s="137">
        <f>'DOE25'!F501</f>
        <v>910000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910000</v>
      </c>
    </row>
    <row r="163" spans="1:7" x14ac:dyDescent="0.2">
      <c r="A163" s="22" t="s">
        <v>39</v>
      </c>
      <c r="B163" s="137">
        <f>'DOE25'!F502</f>
        <v>128310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128310</v>
      </c>
    </row>
    <row r="164" spans="1:7" x14ac:dyDescent="0.2">
      <c r="A164" s="22" t="s">
        <v>246</v>
      </c>
      <c r="B164" s="137">
        <f>'DOE25'!F503</f>
        <v>1038310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1038310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7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WEARE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11315</v>
      </c>
    </row>
    <row r="5" spans="1:4" x14ac:dyDescent="0.2">
      <c r="B5" t="s">
        <v>698</v>
      </c>
      <c r="C5" s="179">
        <f>IF('DOE25'!G665+'DOE25'!G670=0,0,ROUND('DOE25'!G672,0))</f>
        <v>15415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12813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5608709</v>
      </c>
      <c r="D10" s="182">
        <f>ROUND((C10/$C$28)*100,1)</f>
        <v>40.5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2365707</v>
      </c>
      <c r="D11" s="182">
        <f>ROUND((C11/$C$28)*100,1)</f>
        <v>17.100000000000001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88559</v>
      </c>
      <c r="D12" s="182">
        <f>ROUND((C12/$C$28)*100,1)</f>
        <v>0.6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84701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971851</v>
      </c>
      <c r="D15" s="182">
        <f t="shared" ref="D15:D27" si="0">ROUND((C15/$C$28)*100,1)</f>
        <v>7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888079</v>
      </c>
      <c r="D16" s="182">
        <f t="shared" si="0"/>
        <v>6.4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622506</v>
      </c>
      <c r="D17" s="182">
        <f t="shared" si="0"/>
        <v>4.5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867695</v>
      </c>
      <c r="D18" s="182">
        <f t="shared" si="0"/>
        <v>6.3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1196585</v>
      </c>
      <c r="D20" s="182">
        <f t="shared" si="0"/>
        <v>8.6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851847</v>
      </c>
      <c r="D21" s="182">
        <f t="shared" si="0"/>
        <v>6.2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145418</v>
      </c>
      <c r="D25" s="182">
        <f t="shared" si="0"/>
        <v>1.1000000000000001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152546.75</v>
      </c>
      <c r="D27" s="182">
        <f t="shared" si="0"/>
        <v>1.1000000000000001</v>
      </c>
    </row>
    <row r="28" spans="1:4" x14ac:dyDescent="0.2">
      <c r="B28" s="187" t="s">
        <v>717</v>
      </c>
      <c r="C28" s="180">
        <f>SUM(C10:C27)</f>
        <v>13844203.75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13844203.75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910000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7901635</v>
      </c>
      <c r="D35" s="182">
        <f t="shared" ref="D35:D40" si="1">ROUND((C35/$C$41)*100,1)</f>
        <v>53.2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166905.66000000015</v>
      </c>
      <c r="D36" s="182">
        <f t="shared" si="1"/>
        <v>1.1000000000000001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6072994</v>
      </c>
      <c r="D37" s="182">
        <f t="shared" si="1"/>
        <v>40.9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441369</v>
      </c>
      <c r="D38" s="182">
        <f t="shared" si="1"/>
        <v>3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275141</v>
      </c>
      <c r="D39" s="182">
        <f t="shared" si="1"/>
        <v>1.9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14858044.66</v>
      </c>
      <c r="D41" s="184">
        <f>SUM(D35:D40)</f>
        <v>100.10000000000001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WEARE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2018-08-06T13:14:16Z</cp:lastPrinted>
  <dcterms:created xsi:type="dcterms:W3CDTF">1997-12-04T19:04:30Z</dcterms:created>
  <dcterms:modified xsi:type="dcterms:W3CDTF">2018-11-30T17:46:57Z</dcterms:modified>
</cp:coreProperties>
</file>