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0" yWindow="0" windowWidth="20490" windowHeight="765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E8" i="13" s="1"/>
  <c r="C8" i="13" s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C110" i="2" s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D12" i="13" s="1"/>
  <c r="C12" i="13" s="1"/>
  <c r="F14" i="13"/>
  <c r="G14" i="13"/>
  <c r="L207" i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D18" i="13" s="1"/>
  <c r="C18" i="13" s="1"/>
  <c r="F19" i="13"/>
  <c r="G19" i="13"/>
  <c r="D19" i="13" s="1"/>
  <c r="C19" i="13" s="1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E112" i="2" s="1"/>
  <c r="L281" i="1"/>
  <c r="L282" i="1"/>
  <c r="L283" i="1"/>
  <c r="L284" i="1"/>
  <c r="E121" i="2" s="1"/>
  <c r="L285" i="1"/>
  <c r="L286" i="1"/>
  <c r="L287" i="1"/>
  <c r="L288" i="1"/>
  <c r="E125" i="2" s="1"/>
  <c r="L295" i="1"/>
  <c r="L309" i="1" s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28" i="1" s="1"/>
  <c r="L315" i="1"/>
  <c r="L316" i="1"/>
  <c r="L317" i="1"/>
  <c r="L319" i="1"/>
  <c r="L320" i="1"/>
  <c r="L321" i="1"/>
  <c r="L322" i="1"/>
  <c r="L323" i="1"/>
  <c r="L324" i="1"/>
  <c r="L325" i="1"/>
  <c r="L326" i="1"/>
  <c r="L333" i="1"/>
  <c r="E114" i="2" s="1"/>
  <c r="L334" i="1"/>
  <c r="L335" i="1"/>
  <c r="L260" i="1"/>
  <c r="C131" i="2" s="1"/>
  <c r="L261" i="1"/>
  <c r="C25" i="10" s="1"/>
  <c r="L341" i="1"/>
  <c r="L342" i="1"/>
  <c r="L255" i="1"/>
  <c r="C130" i="2" s="1"/>
  <c r="L336" i="1"/>
  <c r="C11" i="13"/>
  <c r="C10" i="13"/>
  <c r="C9" i="13"/>
  <c r="L361" i="1"/>
  <c r="L362" i="1" s="1"/>
  <c r="B4" i="12"/>
  <c r="B36" i="12"/>
  <c r="C36" i="12"/>
  <c r="B40" i="12"/>
  <c r="C40" i="12"/>
  <c r="B27" i="12"/>
  <c r="C27" i="12"/>
  <c r="B31" i="12"/>
  <c r="A31" i="12" s="1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401" i="1" s="1"/>
  <c r="C139" i="2" s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L612" i="1"/>
  <c r="G663" i="1" s="1"/>
  <c r="L611" i="1"/>
  <c r="F663" i="1" s="1"/>
  <c r="C40" i="10"/>
  <c r="F60" i="1"/>
  <c r="G60" i="1"/>
  <c r="H60" i="1"/>
  <c r="I60" i="1"/>
  <c r="F56" i="2" s="1"/>
  <c r="F79" i="1"/>
  <c r="C57" i="2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C85" i="2" s="1"/>
  <c r="F162" i="1"/>
  <c r="F169" i="1" s="1"/>
  <c r="G147" i="1"/>
  <c r="G162" i="1"/>
  <c r="H147" i="1"/>
  <c r="H162" i="1"/>
  <c r="I147" i="1"/>
  <c r="I162" i="1"/>
  <c r="C11" i="10"/>
  <c r="C16" i="10"/>
  <c r="L250" i="1"/>
  <c r="L332" i="1"/>
  <c r="L254" i="1"/>
  <c r="L268" i="1"/>
  <c r="L269" i="1"/>
  <c r="C143" i="2" s="1"/>
  <c r="L349" i="1"/>
  <c r="C26" i="10" s="1"/>
  <c r="L350" i="1"/>
  <c r="I665" i="1"/>
  <c r="I670" i="1"/>
  <c r="G661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L527" i="1"/>
  <c r="G550" i="1" s="1"/>
  <c r="L528" i="1"/>
  <c r="G551" i="1" s="1"/>
  <c r="L531" i="1"/>
  <c r="H549" i="1" s="1"/>
  <c r="L532" i="1"/>
  <c r="H550" i="1" s="1"/>
  <c r="K550" i="1" s="1"/>
  <c r="L533" i="1"/>
  <c r="H551" i="1" s="1"/>
  <c r="L536" i="1"/>
  <c r="I549" i="1" s="1"/>
  <c r="L537" i="1"/>
  <c r="I550" i="1" s="1"/>
  <c r="L538" i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D50" i="2" s="1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C58" i="2"/>
  <c r="E58" i="2"/>
  <c r="C59" i="2"/>
  <c r="D59" i="2"/>
  <c r="E59" i="2"/>
  <c r="F59" i="2"/>
  <c r="D60" i="2"/>
  <c r="D62" i="2" s="1"/>
  <c r="D63" i="2" s="1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D85" i="2"/>
  <c r="E85" i="2"/>
  <c r="F85" i="2"/>
  <c r="C87" i="2"/>
  <c r="E87" i="2"/>
  <c r="F87" i="2"/>
  <c r="C88" i="2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10" i="2"/>
  <c r="E111" i="2"/>
  <c r="C112" i="2"/>
  <c r="C113" i="2"/>
  <c r="E113" i="2"/>
  <c r="D115" i="2"/>
  <c r="F115" i="2"/>
  <c r="G115" i="2"/>
  <c r="C119" i="2"/>
  <c r="E119" i="2"/>
  <c r="E120" i="2"/>
  <c r="C121" i="2"/>
  <c r="E123" i="2"/>
  <c r="E124" i="2"/>
  <c r="C125" i="2"/>
  <c r="F128" i="2"/>
  <c r="G128" i="2"/>
  <c r="D134" i="2"/>
  <c r="D144" i="2" s="1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G156" i="2" s="1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G503" i="1"/>
  <c r="C164" i="2" s="1"/>
  <c r="H503" i="1"/>
  <c r="D164" i="2" s="1"/>
  <c r="I503" i="1"/>
  <c r="E164" i="2" s="1"/>
  <c r="J503" i="1"/>
  <c r="F164" i="2" s="1"/>
  <c r="F19" i="1"/>
  <c r="G19" i="1"/>
  <c r="H19" i="1"/>
  <c r="I19" i="1"/>
  <c r="G620" i="1" s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F177" i="1"/>
  <c r="I177" i="1"/>
  <c r="F183" i="1"/>
  <c r="G183" i="1"/>
  <c r="G192" i="1" s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I257" i="1" s="1"/>
  <c r="J211" i="1"/>
  <c r="K211" i="1"/>
  <c r="F229" i="1"/>
  <c r="G229" i="1"/>
  <c r="H229" i="1"/>
  <c r="I229" i="1"/>
  <c r="J229" i="1"/>
  <c r="K229" i="1"/>
  <c r="K257" i="1" s="1"/>
  <c r="K271" i="1" s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F290" i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H644" i="1" s="1"/>
  <c r="I408" i="1"/>
  <c r="L413" i="1"/>
  <c r="L414" i="1"/>
  <c r="L415" i="1"/>
  <c r="L419" i="1" s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H460" i="1"/>
  <c r="I460" i="1"/>
  <c r="I461" i="1" s="1"/>
  <c r="H642" i="1" s="1"/>
  <c r="F461" i="1"/>
  <c r="G461" i="1"/>
  <c r="H461" i="1"/>
  <c r="F470" i="1"/>
  <c r="F476" i="1" s="1"/>
  <c r="H622" i="1" s="1"/>
  <c r="J622" i="1" s="1"/>
  <c r="G470" i="1"/>
  <c r="H470" i="1"/>
  <c r="I470" i="1"/>
  <c r="I476" i="1" s="1"/>
  <c r="H625" i="1" s="1"/>
  <c r="J470" i="1"/>
  <c r="F474" i="1"/>
  <c r="G474" i="1"/>
  <c r="H474" i="1"/>
  <c r="H476" i="1" s="1"/>
  <c r="H624" i="1" s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H571" i="1" s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7" i="1"/>
  <c r="J617" i="1" s="1"/>
  <c r="G618" i="1"/>
  <c r="G619" i="1"/>
  <c r="G622" i="1"/>
  <c r="G623" i="1"/>
  <c r="G624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G639" i="1"/>
  <c r="H639" i="1"/>
  <c r="G640" i="1"/>
  <c r="H640" i="1"/>
  <c r="G641" i="1"/>
  <c r="H641" i="1"/>
  <c r="G643" i="1"/>
  <c r="J643" i="1" s="1"/>
  <c r="H643" i="1"/>
  <c r="G644" i="1"/>
  <c r="G645" i="1"/>
  <c r="H645" i="1"/>
  <c r="G650" i="1"/>
  <c r="G651" i="1"/>
  <c r="G652" i="1"/>
  <c r="H652" i="1"/>
  <c r="G653" i="1"/>
  <c r="H653" i="1"/>
  <c r="G654" i="1"/>
  <c r="H654" i="1"/>
  <c r="H655" i="1"/>
  <c r="F192" i="1"/>
  <c r="G257" i="1"/>
  <c r="G271" i="1" s="1"/>
  <c r="D18" i="2"/>
  <c r="G62" i="2"/>
  <c r="E78" i="2"/>
  <c r="E81" i="2" s="1"/>
  <c r="K605" i="1"/>
  <c r="G648" i="1" s="1"/>
  <c r="J571" i="1"/>
  <c r="I169" i="1"/>
  <c r="J476" i="1"/>
  <c r="H626" i="1" s="1"/>
  <c r="J140" i="1"/>
  <c r="G22" i="2"/>
  <c r="J552" i="1"/>
  <c r="H552" i="1"/>
  <c r="H140" i="1"/>
  <c r="F338" i="1"/>
  <c r="F352" i="1" s="1"/>
  <c r="H192" i="1"/>
  <c r="F552" i="1"/>
  <c r="E16" i="13"/>
  <c r="C16" i="13" s="1"/>
  <c r="L570" i="1"/>
  <c r="I571" i="1"/>
  <c r="G36" i="2"/>
  <c r="L565" i="1"/>
  <c r="G161" i="2" l="1"/>
  <c r="G157" i="2"/>
  <c r="F78" i="2"/>
  <c r="F81" i="2" s="1"/>
  <c r="D31" i="2"/>
  <c r="D51" i="2" s="1"/>
  <c r="F18" i="2"/>
  <c r="A40" i="12"/>
  <c r="K545" i="1"/>
  <c r="G545" i="1"/>
  <c r="I545" i="1"/>
  <c r="H545" i="1"/>
  <c r="G476" i="1"/>
  <c r="H623" i="1" s="1"/>
  <c r="J640" i="1"/>
  <c r="J634" i="1"/>
  <c r="J655" i="1"/>
  <c r="L256" i="1"/>
  <c r="C91" i="2"/>
  <c r="C70" i="2"/>
  <c r="J644" i="1"/>
  <c r="J623" i="1"/>
  <c r="J624" i="1"/>
  <c r="E31" i="2"/>
  <c r="C20" i="10"/>
  <c r="D7" i="13"/>
  <c r="C7" i="13" s="1"/>
  <c r="D5" i="13"/>
  <c r="C5" i="13" s="1"/>
  <c r="E57" i="2"/>
  <c r="E62" i="2" s="1"/>
  <c r="E63" i="2" s="1"/>
  <c r="H112" i="1"/>
  <c r="C35" i="10"/>
  <c r="C56" i="2"/>
  <c r="E118" i="2"/>
  <c r="L290" i="1"/>
  <c r="C10" i="10"/>
  <c r="E109" i="2"/>
  <c r="E115" i="2" s="1"/>
  <c r="H661" i="1"/>
  <c r="D29" i="13"/>
  <c r="C29" i="13" s="1"/>
  <c r="F661" i="1"/>
  <c r="I661" i="1" s="1"/>
  <c r="C122" i="2"/>
  <c r="E13" i="13"/>
  <c r="C13" i="13" s="1"/>
  <c r="C19" i="10"/>
  <c r="H25" i="13"/>
  <c r="J645" i="1"/>
  <c r="H169" i="1"/>
  <c r="L393" i="1"/>
  <c r="C138" i="2" s="1"/>
  <c r="D127" i="2"/>
  <c r="D128" i="2" s="1"/>
  <c r="D145" i="2" s="1"/>
  <c r="C18" i="10"/>
  <c r="L229" i="1"/>
  <c r="G660" i="1" s="1"/>
  <c r="G664" i="1" s="1"/>
  <c r="F112" i="1"/>
  <c r="J641" i="1"/>
  <c r="F571" i="1"/>
  <c r="L560" i="1"/>
  <c r="E142" i="2"/>
  <c r="C132" i="2"/>
  <c r="I551" i="1"/>
  <c r="K551" i="1" s="1"/>
  <c r="L539" i="1"/>
  <c r="G549" i="1"/>
  <c r="L529" i="1"/>
  <c r="E134" i="2"/>
  <c r="L351" i="1"/>
  <c r="F130" i="2"/>
  <c r="F144" i="2" s="1"/>
  <c r="F145" i="2" s="1"/>
  <c r="E33" i="13"/>
  <c r="D35" i="13" s="1"/>
  <c r="J625" i="1"/>
  <c r="H663" i="1"/>
  <c r="L614" i="1"/>
  <c r="F22" i="13"/>
  <c r="C22" i="13" s="1"/>
  <c r="E130" i="2"/>
  <c r="E144" i="2" s="1"/>
  <c r="E122" i="2"/>
  <c r="C21" i="10"/>
  <c r="H647" i="1"/>
  <c r="F662" i="1"/>
  <c r="I662" i="1" s="1"/>
  <c r="C124" i="2"/>
  <c r="G649" i="1"/>
  <c r="J649" i="1" s="1"/>
  <c r="D15" i="13"/>
  <c r="C15" i="13" s="1"/>
  <c r="C118" i="2"/>
  <c r="D6" i="13"/>
  <c r="C6" i="13" s="1"/>
  <c r="C15" i="10"/>
  <c r="C12" i="10"/>
  <c r="C111" i="2"/>
  <c r="C115" i="2" s="1"/>
  <c r="J545" i="1"/>
  <c r="L427" i="1"/>
  <c r="E103" i="2"/>
  <c r="L211" i="1"/>
  <c r="L257" i="1" s="1"/>
  <c r="A13" i="12"/>
  <c r="D17" i="13"/>
  <c r="C17" i="13" s="1"/>
  <c r="D14" i="13"/>
  <c r="C14" i="13" s="1"/>
  <c r="L247" i="1"/>
  <c r="H660" i="1" s="1"/>
  <c r="H664" i="1" s="1"/>
  <c r="C17" i="10"/>
  <c r="J651" i="1"/>
  <c r="J639" i="1"/>
  <c r="K598" i="1"/>
  <c r="G647" i="1" s="1"/>
  <c r="J647" i="1" s="1"/>
  <c r="K571" i="1"/>
  <c r="L534" i="1"/>
  <c r="H257" i="1"/>
  <c r="H271" i="1" s="1"/>
  <c r="J257" i="1"/>
  <c r="J271" i="1" s="1"/>
  <c r="I52" i="1"/>
  <c r="H620" i="1" s="1"/>
  <c r="G625" i="1"/>
  <c r="B164" i="2"/>
  <c r="G164" i="2" s="1"/>
  <c r="K503" i="1"/>
  <c r="C123" i="2"/>
  <c r="C114" i="2"/>
  <c r="C78" i="2"/>
  <c r="C81" i="2" s="1"/>
  <c r="C18" i="2"/>
  <c r="L270" i="1"/>
  <c r="L544" i="1"/>
  <c r="L524" i="1"/>
  <c r="J338" i="1"/>
  <c r="J352" i="1" s="1"/>
  <c r="C120" i="2"/>
  <c r="C13" i="10"/>
  <c r="I271" i="1"/>
  <c r="L382" i="1"/>
  <c r="G636" i="1" s="1"/>
  <c r="J636" i="1" s="1"/>
  <c r="K352" i="1"/>
  <c r="C62" i="2"/>
  <c r="C29" i="10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L571" i="1"/>
  <c r="I192" i="1"/>
  <c r="E91" i="2"/>
  <c r="L408" i="1"/>
  <c r="G637" i="1" s="1"/>
  <c r="J637" i="1" s="1"/>
  <c r="J654" i="1"/>
  <c r="J653" i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G169" i="1"/>
  <c r="G140" i="1"/>
  <c r="F140" i="1"/>
  <c r="G63" i="2"/>
  <c r="J618" i="1"/>
  <c r="G42" i="2"/>
  <c r="G50" i="2" s="1"/>
  <c r="G51" i="2" s="1"/>
  <c r="J51" i="1"/>
  <c r="G16" i="2"/>
  <c r="J19" i="1"/>
  <c r="G621" i="1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J652" i="1"/>
  <c r="J642" i="1"/>
  <c r="G571" i="1"/>
  <c r="I434" i="1"/>
  <c r="G434" i="1"/>
  <c r="I663" i="1"/>
  <c r="C27" i="10"/>
  <c r="G635" i="1"/>
  <c r="J635" i="1" s="1"/>
  <c r="G104" i="2" l="1"/>
  <c r="C144" i="2"/>
  <c r="C145" i="2" s="1"/>
  <c r="C63" i="2"/>
  <c r="C104" i="2" s="1"/>
  <c r="F193" i="1"/>
  <c r="G627" i="1" s="1"/>
  <c r="J627" i="1" s="1"/>
  <c r="L545" i="1"/>
  <c r="E128" i="2"/>
  <c r="E145" i="2" s="1"/>
  <c r="L271" i="1"/>
  <c r="G632" i="1" s="1"/>
  <c r="J632" i="1" s="1"/>
  <c r="H193" i="1"/>
  <c r="G629" i="1" s="1"/>
  <c r="J629" i="1" s="1"/>
  <c r="E104" i="2"/>
  <c r="C36" i="10"/>
  <c r="C128" i="2"/>
  <c r="H667" i="1"/>
  <c r="H672" i="1"/>
  <c r="C6" i="10" s="1"/>
  <c r="G672" i="1"/>
  <c r="C5" i="10" s="1"/>
  <c r="G667" i="1"/>
  <c r="C25" i="13"/>
  <c r="H33" i="13"/>
  <c r="F660" i="1"/>
  <c r="H648" i="1"/>
  <c r="J648" i="1" s="1"/>
  <c r="C39" i="10"/>
  <c r="C28" i="10"/>
  <c r="D24" i="10" s="1"/>
  <c r="D31" i="13"/>
  <c r="C31" i="13" s="1"/>
  <c r="F33" i="13"/>
  <c r="I552" i="1"/>
  <c r="L338" i="1"/>
  <c r="L352" i="1" s="1"/>
  <c r="G633" i="1" s="1"/>
  <c r="J633" i="1" s="1"/>
  <c r="G552" i="1"/>
  <c r="K549" i="1"/>
  <c r="K552" i="1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33" i="13" l="1"/>
  <c r="D36" i="13" s="1"/>
  <c r="D23" i="10"/>
  <c r="D27" i="10"/>
  <c r="D10" i="10"/>
  <c r="D20" i="10"/>
  <c r="D18" i="10"/>
  <c r="D13" i="10"/>
  <c r="D26" i="10"/>
  <c r="D15" i="10"/>
  <c r="D11" i="10"/>
  <c r="C30" i="10"/>
  <c r="D21" i="10"/>
  <c r="D17" i="10"/>
  <c r="D25" i="10"/>
  <c r="D12" i="10"/>
  <c r="D19" i="10"/>
  <c r="D16" i="10"/>
  <c r="D22" i="10"/>
  <c r="F664" i="1"/>
  <c r="I660" i="1"/>
  <c r="I664" i="1" s="1"/>
  <c r="I672" i="1" s="1"/>
  <c r="C7" i="10" s="1"/>
  <c r="H656" i="1"/>
  <c r="C41" i="10"/>
  <c r="D38" i="10" s="1"/>
  <c r="D28" i="10" l="1"/>
  <c r="I667" i="1"/>
  <c r="F672" i="1"/>
  <c r="C4" i="10" s="1"/>
  <c r="F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<sst xmlns="http://schemas.openxmlformats.org/spreadsheetml/2006/main" count="3957" uniqueCount="913">
  <si>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</si>
  <si>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</si>
  <si>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</si>
  <si>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</si>
  <si>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</si>
  <si>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</si>
  <si>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</si>
  <si>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</si>
  <si>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</si>
  <si>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</si>
  <si>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</si>
  <si>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</si>
  <si>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</si>
  <si>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</si>
  <si>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</si>
  <si>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</si>
  <si>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</si>
  <si>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</si>
  <si>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</si>
  <si>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</si>
  <si>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</si>
  <si>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</si>
  <si>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</si>
  <si>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</si>
  <si>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</si>
  <si>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</si>
  <si>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</si>
  <si>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</si>
  <si>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</si>
  <si>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</si>
  <si>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</si>
  <si>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</si>
  <si>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</si>
  <si>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</si>
  <si>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</si>
  <si>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</si>
  <si>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</si>
  <si>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</si>
  <si>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</si>
  <si>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</si>
  <si>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</si>
  <si>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</si>
  <si>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</si>
  <si>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</si>
  <si>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</si>
  <si>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</si>
  <si>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</si>
  <si>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</si>
  <si>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</si>
  <si>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</si>
  <si>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</si>
  <si>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</si>
  <si>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</si>
  <si>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</si>
  <si>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</si>
  <si>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</si>
  <si>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</si>
  <si>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</si>
  <si>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</si>
  <si>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</si>
  <si>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</si>
  <si>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</si>
  <si>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</si>
  <si>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</si>
  <si>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</si>
  <si>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</si>
  <si>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</si>
  <si>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</si>
  <si>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</si>
  <si>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</si>
  <si>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</si>
  <si>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</si>
  <si>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</si>
  <si>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</si>
  <si>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</si>
  <si>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</si>
  <si>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</si>
  <si>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</si>
  <si>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</si>
  <si>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</si>
  <si>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</si>
  <si>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</si>
  <si>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</si>
  <si>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</si>
  <si>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</si>
  <si>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</si>
  <si>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</si>
  <si>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</si>
  <si>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</si>
  <si>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</si>
  <si>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</si>
  <si>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</si>
  <si>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</si>
  <si>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</si>
  <si>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</si>
  <si>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</si>
  <si>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</si>
  <si>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</si>
  <si>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</si>
  <si>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</si>
  <si>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</si>
  <si>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</si>
  <si>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</si>
  <si>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</si>
  <si>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</si>
  <si>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</si>
  <si>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</si>
  <si>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</si>
  <si>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</si>
  <si>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</si>
  <si>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</si>
  <si>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</si>
  <si>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</si>
  <si>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</si>
  <si>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</si>
  <si>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</si>
  <si>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</si>
  <si>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</si>
  <si>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</si>
  <si>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</si>
  <si>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</si>
  <si>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</si>
  <si>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</si>
  <si>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</si>
  <si>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</si>
  <si>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</si>
  <si>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</si>
  <si>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</si>
  <si>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</si>
  <si>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</si>
  <si>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</si>
  <si>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</si>
  <si>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</si>
  <si>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</si>
  <si>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</si>
  <si>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</si>
  <si>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</si>
  <si>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</si>
  <si>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</si>
  <si>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</si>
  <si>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</si>
  <si>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</si>
  <si>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</si>
  <si>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</si>
  <si>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</si>
  <si>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</si>
  <si>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</si>
  <si>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</si>
  <si>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</si>
  <si>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</si>
  <si>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</si>
  <si>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</si>
  <si>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</si>
  <si>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</si>
  <si>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</si>
  <si>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</si>
  <si>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</si>
  <si>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</si>
  <si>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</si>
  <si>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</si>
  <si>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</si>
  <si>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</si>
  <si>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</si>
  <si>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</si>
  <si>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</si>
  <si>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</si>
  <si>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</si>
  <si>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</si>
  <si>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</si>
  <si>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</si>
  <si>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</si>
  <si>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</si>
  <si>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</si>
  <si>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</si>
  <si>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</si>
  <si>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</si>
  <si>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</si>
  <si>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</si>
  <si>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</si>
  <si>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</si>
  <si>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</si>
  <si>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</si>
  <si>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</si>
  <si>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</si>
  <si>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</si>
  <si>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</si>
  <si>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</si>
  <si>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</si>
  <si>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</si>
  <si>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</si>
  <si>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</si>
  <si>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</si>
  <si>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</si>
  <si>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</si>
  <si>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</si>
  <si>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</si>
  <si>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</si>
  <si>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</si>
  <si>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</si>
  <si>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</si>
  <si>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</si>
  <si>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</si>
  <si>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</si>
  <si>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</si>
  <si>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</si>
  <si>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</si>
  <si>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</si>
  <si>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</si>
  <si>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</si>
  <si>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</si>
  <si>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</si>
  <si>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</si>
  <si>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</si>
  <si>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</si>
  <si>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</si>
  <si>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</si>
  <si>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</si>
  <si>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</si>
  <si>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</si>
  <si>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</si>
  <si>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</si>
  <si>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</si>
  <si>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</si>
  <si>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</si>
  <si>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</si>
  <si>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</si>
  <si>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</si>
  <si>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</si>
  <si>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</si>
  <si>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</si>
  <si>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</si>
  <si>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</si>
  <si>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</si>
  <si>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</si>
  <si>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</si>
  <si>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</si>
  <si>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</si>
  <si>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</si>
  <si>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</si>
  <si>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</si>
  <si>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</si>
  <si>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</si>
  <si>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</si>
  <si>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</si>
  <si>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</si>
  <si>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</si>
  <si>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</si>
  <si>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</si>
  <si>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</si>
  <si>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</si>
  <si>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</si>
  <si>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</si>
  <si>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</si>
  <si>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</si>
  <si>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</si>
  <si>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</si>
  <si>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</si>
  <si>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</si>
  <si>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</si>
  <si>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</si>
  <si>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</si>
  <si>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</si>
  <si>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</si>
  <si>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</si>
  <si>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</si>
  <si>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</si>
  <si>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</si>
  <si>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</si>
  <si>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</si>
  <si>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</si>
  <si>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</si>
  <si>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</si>
  <si>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</si>
  <si>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</si>
  <si>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</si>
  <si>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</si>
  <si>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</si>
  <si>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</si>
  <si>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</si>
  <si>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</si>
  <si>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</si>
  <si>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</si>
  <si>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</si>
  <si>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</si>
  <si>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</si>
  <si>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</si>
  <si>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</si>
  <si>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</si>
  <si>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</si>
  <si>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</si>
  <si>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</si>
  <si>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</si>
  <si>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</si>
  <si>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</si>
  <si>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</si>
  <si>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</si>
  <si>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</si>
  <si>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</si>
  <si>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</si>
  <si>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</si>
  <si>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</si>
  <si>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</si>
  <si>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</si>
  <si>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</si>
  <si>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</si>
  <si>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</si>
  <si>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</si>
  <si>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</si>
  <si>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</si>
  <si>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</si>
  <si>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</si>
  <si>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</si>
  <si>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</si>
  <si>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</si>
  <si>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</si>
  <si>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</si>
  <si>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</si>
  <si>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</si>
  <si>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</si>
  <si>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</si>
  <si>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</si>
  <si>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</si>
  <si>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</si>
  <si>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</si>
  <si>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</si>
  <si>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</si>
  <si>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</si>
  <si>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</si>
  <si>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</si>
  <si>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</si>
  <si>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</si>
  <si>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</si>
  <si>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</si>
  <si>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</si>
  <si>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</si>
  <si>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</si>
  <si>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</si>
  <si>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</si>
  <si>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</si>
  <si>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</si>
  <si>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</si>
  <si>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</si>
  <si>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</si>
  <si>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</si>
  <si>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</si>
  <si>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</si>
  <si>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</si>
  <si>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</si>
  <si>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</si>
  <si>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</si>
  <si>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</si>
  <si>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</si>
  <si>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</si>
  <si>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</si>
  <si>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</si>
  <si>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</si>
  <si>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</si>
  <si>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</si>
  <si>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</si>
  <si>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</si>
  <si>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</si>
  <si>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</si>
  <si>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</si>
  <si>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</si>
  <si>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</si>
  <si>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</si>
  <si>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</si>
  <si>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</si>
  <si>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</si>
  <si>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</si>
  <si>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</si>
  <si>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</si>
  <si>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</si>
  <si>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</si>
  <si>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</si>
  <si>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</si>
  <si>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</si>
  <si>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</si>
  <si>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</si>
  <si>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</si>
  <si>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</si>
  <si>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</si>
  <si>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</si>
  <si>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</si>
  <si>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</si>
  <si>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</si>
  <si>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</si>
  <si>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</si>
  <si>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</si>
  <si>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</si>
  <si>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</si>
  <si>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</si>
  <si>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</si>
  <si>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</si>
  <si>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</si>
  <si>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</si>
  <si>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</si>
  <si>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</si>
  <si>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</si>
  <si>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</si>
  <si>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</si>
  <si>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</si>
  <si>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</si>
  <si>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</si>
  <si>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</si>
  <si>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</si>
  <si>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</si>
  <si>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</si>
  <si>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</si>
  <si>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</si>
  <si>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</si>
  <si>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</si>
  <si>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</si>
  <si>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</si>
  <si>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</si>
  <si>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</si>
  <si>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</si>
  <si>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</si>
  <si>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</si>
  <si>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</si>
  <si>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</si>
  <si>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</si>
  <si>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</si>
  <si>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</si>
  <si>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</si>
  <si>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</si>
  <si>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</si>
  <si>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</si>
  <si>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</si>
  <si>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</si>
  <si>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</si>
  <si>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</si>
  <si>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</si>
  <si>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</si>
  <si>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</si>
  <si>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</si>
  <si>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</si>
  <si>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</si>
  <si>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</si>
  <si>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</si>
  <si>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</si>
  <si>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</si>
  <si>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</si>
  <si>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</si>
  <si>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</si>
  <si>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</si>
  <si>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</si>
  <si>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</si>
  <si>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</si>
  <si>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</si>
  <si>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</si>
  <si>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</si>
  <si>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</si>
  <si>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</si>
  <si>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</si>
  <si>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</si>
  <si>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</si>
  <si>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</si>
  <si>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</si>
  <si>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</si>
  <si>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</si>
  <si>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</si>
  <si>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</si>
  <si>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</si>
  <si>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</si>
  <si>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</si>
  <si>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</si>
  <si>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</si>
  <si>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</si>
  <si>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</si>
  <si>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</si>
  <si>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</si>
  <si>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</si>
  <si>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</si>
  <si>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</si>
  <si>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</si>
  <si>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</si>
  <si>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</si>
  <si>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</si>
  <si>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</si>
  <si>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</si>
  <si>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</si>
  <si>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</si>
  <si>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</si>
  <si>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</si>
  <si>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</si>
  <si>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</si>
  <si>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</si>
  <si>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</si>
  <si>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</si>
  <si>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</si>
  <si>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</si>
  <si>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</si>
  <si>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</si>
  <si>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</si>
  <si>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</si>
  <si>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</si>
  <si>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</si>
  <si>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</si>
  <si>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</si>
  <si>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</si>
  <si>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</si>
  <si>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</si>
  <si>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</si>
  <si>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</si>
  <si>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</si>
  <si>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</si>
  <si>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</si>
  <si>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</si>
  <si>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</si>
  <si>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</si>
  <si>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</si>
  <si>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</si>
  <si>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</si>
  <si>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</si>
  <si>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</si>
  <si>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</si>
  <si>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</si>
  <si>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</si>
  <si>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</si>
  <si>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</si>
  <si>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</si>
  <si>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</si>
  <si>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</si>
  <si>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</si>
  <si>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</si>
  <si>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</si>
  <si>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</si>
  <si>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</si>
  <si>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</si>
  <si>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</si>
  <si>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</si>
  <si>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</si>
  <si>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</si>
  <si>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</si>
  <si>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</si>
  <si>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</si>
  <si>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</si>
  <si>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</si>
  <si>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</si>
  <si>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</si>
  <si>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</si>
  <si>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</si>
  <si>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</si>
  <si>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</si>
  <si>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</si>
  <si>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</si>
  <si>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</si>
  <si>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</si>
  <si>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</si>
  <si>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</si>
  <si>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</si>
  <si>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</si>
  <si>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</si>
  <si>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</si>
  <si>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</si>
  <si>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</si>
  <si>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</si>
  <si>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</si>
  <si>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</si>
  <si>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</si>
  <si>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</si>
  <si>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</si>
  <si>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</si>
  <si>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</si>
  <si>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</si>
  <si>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</si>
  <si>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</si>
  <si>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</si>
  <si>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</si>
  <si>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</si>
  <si>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</si>
  <si>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</si>
  <si>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</si>
  <si>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</si>
  <si>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</si>
  <si>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</si>
  <si>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</si>
  <si>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</si>
  <si>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</si>
  <si>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</si>
  <si>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</si>
  <si>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</si>
  <si>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</si>
  <si>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</si>
  <si>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</si>
  <si>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</si>
  <si>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</si>
  <si>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</si>
  <si>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</si>
  <si>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</si>
  <si>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</si>
  <si>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</si>
  <si>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</si>
  <si>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</si>
  <si>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</si>
  <si>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</si>
  <si>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</si>
  <si>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</si>
  <si>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</si>
  <si>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</si>
  <si>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</si>
  <si>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</si>
  <si>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</si>
  <si>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</si>
  <si>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</si>
  <si>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</si>
  <si>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</si>
  <si>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</si>
  <si>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</si>
  <si>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</si>
  <si>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</si>
  <si>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</si>
  <si>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</si>
  <si>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</si>
  <si>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</si>
  <si>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</si>
  <si>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</si>
  <si>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</si>
  <si>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</si>
  <si>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</si>
  <si>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</si>
  <si>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</si>
  <si>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</si>
  <si>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</si>
  <si>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</si>
  <si>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</si>
  <si>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</si>
  <si>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</si>
  <si>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</si>
  <si>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</si>
  <si>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</si>
  <si>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</si>
  <si>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</si>
  <si>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</si>
  <si>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</si>
  <si>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</si>
  <si>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</si>
  <si>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</si>
  <si>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</si>
  <si>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</si>
  <si>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</si>
  <si>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</si>
  <si>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</si>
  <si>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</si>
  <si>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</si>
  <si>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</si>
  <si>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</si>
  <si>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</si>
  <si>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</si>
  <si>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</si>
  <si>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</si>
  <si>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</si>
  <si>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</si>
  <si>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</si>
  <si>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</si>
  <si>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</si>
  <si>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</si>
  <si>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</si>
  <si>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</si>
  <si>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</si>
  <si>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</si>
  <si>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</si>
  <si>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</si>
  <si>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</si>
  <si>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</si>
  <si>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</si>
  <si>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</si>
  <si>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</si>
  <si>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</si>
  <si>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</si>
  <si>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</si>
  <si>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</si>
  <si>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</si>
  <si>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</si>
  <si>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</si>
  <si>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</si>
  <si>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</si>
  <si>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</si>
  <si>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</si>
  <si>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</si>
  <si>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</si>
  <si>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</si>
  <si>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</si>
  <si>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</si>
  <si>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</si>
  <si>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</si>
  <si>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</si>
  <si>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</si>
  <si>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</si>
  <si>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</si>
  <si>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</si>
  <si>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</si>
  <si>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</si>
  <si>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</si>
  <si>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</si>
  <si>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</si>
  <si>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</si>
  <si>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</si>
  <si>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</si>
  <si>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</si>
  <si>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</si>
  <si>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</si>
  <si>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</si>
  <si>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</si>
  <si>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</si>
  <si>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</si>
  <si>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</si>
  <si>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</si>
  <si>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</si>
  <si>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</si>
  <si>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</si>
  <si>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</si>
  <si>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</si>
  <si>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</si>
  <si>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</si>
  <si>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</si>
  <si>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</si>
  <si>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</si>
  <si>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</si>
  <si>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</si>
  <si>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</si>
  <si>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</si>
  <si>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</si>
  <si>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</si>
  <si>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</si>
  <si>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</si>
  <si>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</si>
  <si>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</si>
  <si>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</si>
  <si>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</si>
  <si>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</si>
  <si>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</si>
  <si>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</si>
  <si>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</si>
  <si>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</si>
  <si>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</si>
  <si>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</si>
  <si>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</si>
  <si>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</si>
  <si>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</si>
  <si>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</si>
  <si>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</si>
  <si>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</si>
  <si>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</si>
  <si>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</si>
  <si>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</si>
  <si>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</si>
  <si>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</si>
  <si>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</si>
  <si>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</si>
  <si>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</si>
  <si>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</si>
  <si>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</si>
  <si>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</si>
  <si>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</si>
  <si>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</si>
  <si>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</si>
  <si>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</si>
  <si>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</si>
  <si>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</si>
  <si>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</si>
  <si>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</si>
  <si>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</si>
  <si>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</si>
  <si>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</si>
  <si>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</si>
  <si>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</si>
  <si>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</si>
  <si>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</si>
  <si>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</si>
  <si>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</si>
  <si>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</si>
  <si>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</si>
  <si>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</si>
  <si>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</si>
  <si>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</si>
  <si>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</si>
  <si>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</si>
  <si>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</si>
  <si>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</si>
  <si>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</si>
  <si>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</si>
  <si>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</si>
  <si>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</si>
  <si>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</si>
  <si>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</si>
  <si>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</si>
  <si>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</si>
  <si>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</si>
  <si>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</si>
  <si>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</si>
  <si>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</si>
  <si>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</si>
  <si>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</si>
  <si>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</si>
  <si>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</si>
  <si>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</si>
  <si>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</si>
  <si>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</si>
  <si>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</si>
  <si>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</si>
  <si>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</si>
  <si>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</si>
  <si>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</si>
  <si>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</si>
  <si>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</si>
  <si>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</si>
  <si>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</si>
  <si>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</si>
  <si>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</si>
  <si>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</si>
  <si>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</si>
  <si>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</si>
  <si>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</si>
  <si>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</si>
  <si>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</si>
  <si>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</si>
  <si>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</si>
  <si>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</si>
  <si>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</si>
  <si>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</si>
  <si>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</si>
  <si>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</si>
  <si>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</si>
  <si>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</si>
  <si>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</si>
  <si>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</si>
  <si>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</si>
  <si>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</si>
  <si>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</si>
  <si>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</si>
  <si>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</si>
  <si>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</si>
  <si>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</si>
  <si>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</si>
  <si>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</si>
  <si>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</si>
  <si>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</si>
  <si>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</si>
  <si>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</si>
  <si>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</si>
  <si>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</si>
  <si>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</si>
  <si>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</si>
  <si>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</si>
  <si>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</si>
  <si>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</si>
  <si>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</si>
  <si>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</si>
  <si>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</si>
  <si>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</si>
  <si>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</si>
  <si>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</si>
  <si>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</si>
  <si>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</si>
  <si>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</si>
  <si>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</si>
  <si>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</si>
  <si>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</si>
  <si>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</si>
  <si>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</si>
  <si>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</si>
  <si>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</si>
  <si>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</si>
  <si>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</si>
  <si>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</si>
  <si>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</si>
  <si>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</si>
  <si>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</si>
  <si>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</si>
  <si>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</si>
  <si>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</si>
  <si>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</si>
  <si>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</si>
  <si>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</si>
  <si>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</si>
  <si>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</si>
  <si>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</si>
  <si>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</si>
  <si>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</si>
  <si>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</si>
  <si>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</si>
  <si>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</si>
  <si>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</si>
  <si>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</si>
  <si>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</si>
  <si>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</si>
  <si>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</si>
  <si>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</si>
  <si>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</si>
  <si>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</si>
  <si>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</si>
  <si>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</si>
  <si>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</si>
  <si>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</si>
  <si>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</si>
  <si>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</si>
  <si>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</si>
  <si>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</si>
  <si>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</si>
  <si>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</si>
  <si>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</si>
  <si>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</si>
  <si>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</si>
  <si>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</si>
  <si>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</si>
  <si>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</si>
  <si>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</si>
  <si>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</si>
  <si>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</si>
  <si>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</si>
  <si>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Wentworth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</si>
</sst>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Normal="100" workbookViewId="0">
      <pane xSplit="5" ySplit="3" topLeftCell="F631" activePane="bottomRight" state="frozen"/>
      <selection pane="topRight" activeCell="F1" sqref="F1"/>
      <selection pane="bottomLeft" activeCell="A4" sqref="A4"/>
      <selection pane="bottomRight" activeCell="F666" sqref="F666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912</v>
      </c>
      <c r="B2" s="21">
        <v>559</v>
      </c>
      <c r="C2" s="21">
        <v>559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v>218300.32</v>
      </c>
      <c r="G9" s="18">
        <v>-6333.65</v>
      </c>
      <c r="H9" s="18">
        <v>-8759.2199999999993</v>
      </c>
      <c r="I9" s="18"/>
      <c r="J9" s="67">
        <f>SUM(I439)</f>
        <v>0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/>
      <c r="G10" s="18"/>
      <c r="H10" s="18"/>
      <c r="I10" s="18"/>
      <c r="J10" s="67">
        <f>SUM(I440)</f>
        <v>27049.66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>
        <v>2215.08</v>
      </c>
      <c r="G13" s="18">
        <v>5653.74</v>
      </c>
      <c r="H13" s="18">
        <v>9893.6200000000008</v>
      </c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>
        <v>616.86</v>
      </c>
      <c r="G14" s="18">
        <v>10815.75</v>
      </c>
      <c r="H14" s="18"/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/>
      <c r="G16" s="18"/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>
        <v>4161.1099999999997</v>
      </c>
      <c r="G17" s="18"/>
      <c r="H17" s="18"/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225293.36999999997</v>
      </c>
      <c r="G19" s="41">
        <f>SUM(G9:G18)</f>
        <v>10135.84</v>
      </c>
      <c r="H19" s="41">
        <f>SUM(H9:H18)</f>
        <v>1134.4000000000015</v>
      </c>
      <c r="I19" s="41">
        <f>SUM(I9:I18)</f>
        <v>0</v>
      </c>
      <c r="J19" s="41">
        <f>SUM(J9:J18)</f>
        <v>27049.66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>
        <v>21058.63</v>
      </c>
      <c r="G24" s="18"/>
      <c r="H24" s="18">
        <v>1134.4000000000001</v>
      </c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/>
      <c r="G25" s="145"/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/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/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/>
      <c r="G28" s="18"/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/>
      <c r="G29" s="18"/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/>
      <c r="G30" s="18"/>
      <c r="H30" s="18"/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21058.63</v>
      </c>
      <c r="G32" s="41">
        <f>SUM(G22:G31)</f>
        <v>0</v>
      </c>
      <c r="H32" s="41">
        <f>SUM(H22:H31)</f>
        <v>1134.4000000000001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/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>
        <v>18000</v>
      </c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>
        <v>61358.02</v>
      </c>
      <c r="G45" s="18"/>
      <c r="H45" s="18">
        <v>1956.75</v>
      </c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/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/>
      <c r="H48" s="18"/>
      <c r="I48" s="18"/>
      <c r="J48" s="13">
        <f>SUM(I459)</f>
        <v>27049.66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/>
      <c r="G49" s="18">
        <v>10135.84</v>
      </c>
      <c r="H49" s="18">
        <v>-1956.75</v>
      </c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v>124876.72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204234.74</v>
      </c>
      <c r="G51" s="41">
        <f>SUM(G35:G50)</f>
        <v>10135.84</v>
      </c>
      <c r="H51" s="41">
        <f>SUM(H35:H50)</f>
        <v>0</v>
      </c>
      <c r="I51" s="41">
        <f>SUM(I35:I50)</f>
        <v>0</v>
      </c>
      <c r="J51" s="41">
        <f>SUM(J35:J50)</f>
        <v>27049.66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225293.37</v>
      </c>
      <c r="G52" s="41">
        <f>G51+G32</f>
        <v>10135.84</v>
      </c>
      <c r="H52" s="41">
        <f>H51+H32</f>
        <v>1134.4000000000001</v>
      </c>
      <c r="I52" s="41">
        <f>I51+I32</f>
        <v>0</v>
      </c>
      <c r="J52" s="41">
        <f>J51+J32</f>
        <v>27049.66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965808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965808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/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18">
        <v>21874.959999999999</v>
      </c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/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/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21874.959999999999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/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/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0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28.46</v>
      </c>
      <c r="G96" s="18"/>
      <c r="H96" s="18"/>
      <c r="I96" s="18"/>
      <c r="J96" s="18">
        <v>91.85</v>
      </c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>
        <v>5430.05</v>
      </c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/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/>
      <c r="I102" s="18"/>
      <c r="J102" s="18"/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>
        <v>5486.11</v>
      </c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>
        <v>84.42</v>
      </c>
      <c r="G110" s="18"/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5598.99</v>
      </c>
      <c r="G111" s="41">
        <f>SUM(G96:G110)</f>
        <v>5430.05</v>
      </c>
      <c r="H111" s="41">
        <f>SUM(H96:H110)</f>
        <v>0</v>
      </c>
      <c r="I111" s="41">
        <f>SUM(I96:I110)</f>
        <v>0</v>
      </c>
      <c r="J111" s="41">
        <f>SUM(J96:J110)</f>
        <v>91.85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993281.95</v>
      </c>
      <c r="G112" s="41">
        <f>G60+G111</f>
        <v>5430.05</v>
      </c>
      <c r="H112" s="41">
        <f>H60+H79+H94+H111</f>
        <v>0</v>
      </c>
      <c r="I112" s="41">
        <f>I60+I111</f>
        <v>0</v>
      </c>
      <c r="J112" s="41">
        <f>J60+J111</f>
        <v>91.85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>
        <v>335773.38</v>
      </c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138220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>
        <v>689.8</v>
      </c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474683.18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/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/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/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/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>
        <v>340.15</v>
      </c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4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0</v>
      </c>
      <c r="G136" s="41">
        <f>SUM(G123:G135)</f>
        <v>340.15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474683.18</v>
      </c>
      <c r="G140" s="41">
        <f>G121+SUM(G136:G137)</f>
        <v>340.15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/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>
        <v>43510.03</v>
      </c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>
        <v>9355.09</v>
      </c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/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>
        <v>18286.099999999999</v>
      </c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/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30442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>
        <v>10170.4</v>
      </c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30442</v>
      </c>
      <c r="G162" s="41">
        <f>SUM(G150:G161)</f>
        <v>18286.099999999999</v>
      </c>
      <c r="H162" s="41">
        <f>SUM(H150:H161)</f>
        <v>63035.519999999997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>
        <v>1903.5</v>
      </c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32345.5</v>
      </c>
      <c r="G169" s="41">
        <f>G147+G162+SUM(G163:G168)</f>
        <v>18286.099999999999</v>
      </c>
      <c r="H169" s="41">
        <f>H147+H162+SUM(H163:H168)</f>
        <v>63035.519999999997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/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0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>
        <v>20000</v>
      </c>
      <c r="H179" s="18"/>
      <c r="I179" s="18"/>
      <c r="J179" s="18">
        <v>10000</v>
      </c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/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20000</v>
      </c>
      <c r="H183" s="41">
        <f>SUM(H179:H182)</f>
        <v>0</v>
      </c>
      <c r="I183" s="41">
        <f>SUM(I179:I182)</f>
        <v>0</v>
      </c>
      <c r="J183" s="41">
        <f>SUM(J179:J182)</f>
        <v>10000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/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0</v>
      </c>
      <c r="G192" s="41">
        <f>G183+SUM(G188:G191)</f>
        <v>20000</v>
      </c>
      <c r="H192" s="41">
        <f>+H183+SUM(H188:H191)</f>
        <v>0</v>
      </c>
      <c r="I192" s="41">
        <f>I177+I183+SUM(I188:I191)</f>
        <v>0</v>
      </c>
      <c r="J192" s="41">
        <f>J183</f>
        <v>10000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1500310.63</v>
      </c>
      <c r="G193" s="47">
        <f>G112+G140+G169+G192</f>
        <v>44056.3</v>
      </c>
      <c r="H193" s="47">
        <f>H112+H140+H169+H192</f>
        <v>63035.519999999997</v>
      </c>
      <c r="I193" s="47">
        <f>I112+I140+I169+I192</f>
        <v>0</v>
      </c>
      <c r="J193" s="47">
        <f>J112+J140+J192</f>
        <v>10091.85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>
        <v>301313.7</v>
      </c>
      <c r="G197" s="18">
        <v>177263.14</v>
      </c>
      <c r="H197" s="18">
        <v>306.99</v>
      </c>
      <c r="I197" s="18">
        <v>15910.85</v>
      </c>
      <c r="J197" s="18">
        <v>0</v>
      </c>
      <c r="K197" s="18">
        <v>565.58000000000004</v>
      </c>
      <c r="L197" s="19">
        <f>SUM(F197:K197)</f>
        <v>495360.26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>
        <v>142781.74</v>
      </c>
      <c r="G198" s="18">
        <v>44940.94</v>
      </c>
      <c r="H198" s="18">
        <v>93757.87</v>
      </c>
      <c r="I198" s="18">
        <v>489.95</v>
      </c>
      <c r="J198" s="18">
        <v>0</v>
      </c>
      <c r="K198" s="18">
        <v>0</v>
      </c>
      <c r="L198" s="19">
        <f>SUM(F198:K198)</f>
        <v>281970.5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>
        <v>5489</v>
      </c>
      <c r="G200" s="18">
        <v>1035.78</v>
      </c>
      <c r="H200" s="18">
        <v>870</v>
      </c>
      <c r="I200" s="18">
        <v>327.64999999999998</v>
      </c>
      <c r="J200" s="18">
        <v>0</v>
      </c>
      <c r="K200" s="18">
        <v>0</v>
      </c>
      <c r="L200" s="19">
        <f>SUM(F200:K200)</f>
        <v>7722.4299999999994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>
        <v>23260.05</v>
      </c>
      <c r="G202" s="18">
        <v>9796.7199999999993</v>
      </c>
      <c r="H202" s="18">
        <v>128504.81</v>
      </c>
      <c r="I202" s="18">
        <v>1558.09</v>
      </c>
      <c r="J202" s="18">
        <v>0</v>
      </c>
      <c r="K202" s="18">
        <v>0</v>
      </c>
      <c r="L202" s="19">
        <f t="shared" ref="L202:L208" si="0">SUM(F202:K202)</f>
        <v>163119.66999999998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>
        <v>0</v>
      </c>
      <c r="G203" s="18">
        <v>1600</v>
      </c>
      <c r="H203" s="18">
        <v>1977.55</v>
      </c>
      <c r="I203" s="18">
        <v>2345.9899999999998</v>
      </c>
      <c r="J203" s="18">
        <v>0</v>
      </c>
      <c r="K203" s="18">
        <v>0</v>
      </c>
      <c r="L203" s="19">
        <f t="shared" si="0"/>
        <v>5923.54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3030</v>
      </c>
      <c r="G204" s="18">
        <v>198.9</v>
      </c>
      <c r="H204" s="18">
        <v>51752.2</v>
      </c>
      <c r="I204" s="18">
        <v>29.99</v>
      </c>
      <c r="J204" s="18">
        <v>0</v>
      </c>
      <c r="K204" s="18">
        <v>1846.95</v>
      </c>
      <c r="L204" s="19">
        <f t="shared" si="0"/>
        <v>56858.039999999994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>
        <v>68669.33</v>
      </c>
      <c r="G205" s="18">
        <v>23200.94</v>
      </c>
      <c r="H205" s="18">
        <v>4793.7299999999996</v>
      </c>
      <c r="I205" s="18">
        <v>2255.87</v>
      </c>
      <c r="J205" s="18">
        <v>0</v>
      </c>
      <c r="K205" s="18">
        <v>1538.03</v>
      </c>
      <c r="L205" s="19">
        <f t="shared" si="0"/>
        <v>100457.9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>
        <v>0</v>
      </c>
      <c r="G206" s="18">
        <v>0</v>
      </c>
      <c r="H206" s="18">
        <v>25</v>
      </c>
      <c r="I206" s="18">
        <v>0</v>
      </c>
      <c r="J206" s="18">
        <v>0</v>
      </c>
      <c r="K206" s="18">
        <v>0</v>
      </c>
      <c r="L206" s="19">
        <f t="shared" si="0"/>
        <v>25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>
        <v>21448.880000000001</v>
      </c>
      <c r="G207" s="18">
        <v>4480.53</v>
      </c>
      <c r="H207" s="18">
        <v>38480.21</v>
      </c>
      <c r="I207" s="18">
        <v>36070.269999999997</v>
      </c>
      <c r="J207" s="18">
        <v>0</v>
      </c>
      <c r="K207" s="18">
        <v>0</v>
      </c>
      <c r="L207" s="19">
        <f t="shared" si="0"/>
        <v>100479.88999999998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>
        <v>0</v>
      </c>
      <c r="G208" s="18">
        <v>0</v>
      </c>
      <c r="H208" s="18">
        <v>121631.9</v>
      </c>
      <c r="I208" s="18">
        <v>0</v>
      </c>
      <c r="J208" s="18">
        <v>0</v>
      </c>
      <c r="K208" s="18">
        <v>0</v>
      </c>
      <c r="L208" s="19">
        <f t="shared" si="0"/>
        <v>121631.9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565992.69999999995</v>
      </c>
      <c r="G211" s="41">
        <f t="shared" si="1"/>
        <v>262516.95</v>
      </c>
      <c r="H211" s="41">
        <f t="shared" si="1"/>
        <v>442100.26</v>
      </c>
      <c r="I211" s="41">
        <f t="shared" si="1"/>
        <v>58988.659999999996</v>
      </c>
      <c r="J211" s="41">
        <f t="shared" si="1"/>
        <v>0</v>
      </c>
      <c r="K211" s="41">
        <f t="shared" si="1"/>
        <v>3950.5600000000004</v>
      </c>
      <c r="L211" s="41">
        <f t="shared" si="1"/>
        <v>1333549.1299999999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/>
      <c r="I244" s="18"/>
      <c r="J244" s="18"/>
      <c r="K244" s="18"/>
      <c r="L244" s="19">
        <f t="shared" si="4"/>
        <v>0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0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0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>
        <v>29764.18</v>
      </c>
      <c r="I255" s="18"/>
      <c r="J255" s="18"/>
      <c r="K255" s="18"/>
      <c r="L255" s="19">
        <f t="shared" si="6"/>
        <v>29764.18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29764.18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29764.18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565992.69999999995</v>
      </c>
      <c r="G257" s="41">
        <f t="shared" si="8"/>
        <v>262516.95</v>
      </c>
      <c r="H257" s="41">
        <f t="shared" si="8"/>
        <v>471864.44</v>
      </c>
      <c r="I257" s="41">
        <f t="shared" si="8"/>
        <v>58988.659999999996</v>
      </c>
      <c r="J257" s="41">
        <f t="shared" si="8"/>
        <v>0</v>
      </c>
      <c r="K257" s="41">
        <f t="shared" si="8"/>
        <v>3950.5600000000004</v>
      </c>
      <c r="L257" s="41">
        <f t="shared" si="8"/>
        <v>1363313.3099999998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/>
      <c r="L260" s="19">
        <f>SUM(F260:K260)</f>
        <v>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/>
      <c r="L261" s="19">
        <f>SUM(F261:K261)</f>
        <v>0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>
        <v>20000</v>
      </c>
      <c r="L263" s="19">
        <f>SUM(F263:K263)</f>
        <v>20000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>
        <v>10000</v>
      </c>
      <c r="L266" s="19">
        <f t="shared" si="9"/>
        <v>10000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/>
      <c r="L268" s="19">
        <f t="shared" si="9"/>
        <v>0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30000</v>
      </c>
      <c r="L270" s="41">
        <f t="shared" si="9"/>
        <v>30000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565992.69999999995</v>
      </c>
      <c r="G271" s="42">
        <f t="shared" si="11"/>
        <v>262516.95</v>
      </c>
      <c r="H271" s="42">
        <f t="shared" si="11"/>
        <v>471864.44</v>
      </c>
      <c r="I271" s="42">
        <f t="shared" si="11"/>
        <v>58988.659999999996</v>
      </c>
      <c r="J271" s="42">
        <f t="shared" si="11"/>
        <v>0</v>
      </c>
      <c r="K271" s="42">
        <f t="shared" si="11"/>
        <v>33950.559999999998</v>
      </c>
      <c r="L271" s="42">
        <f t="shared" si="11"/>
        <v>1393313.3099999998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>
        <v>23744.880000000001</v>
      </c>
      <c r="G276" s="18">
        <v>11533.94</v>
      </c>
      <c r="H276" s="18">
        <v>1000</v>
      </c>
      <c r="I276" s="18">
        <v>3197.52</v>
      </c>
      <c r="J276" s="18">
        <v>10395</v>
      </c>
      <c r="K276" s="18"/>
      <c r="L276" s="19">
        <f>SUM(F276:K276)</f>
        <v>49871.34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>
        <v>3208</v>
      </c>
      <c r="G279" s="18">
        <v>729.15</v>
      </c>
      <c r="H279" s="18">
        <v>0</v>
      </c>
      <c r="I279" s="18">
        <v>1189.8499999999999</v>
      </c>
      <c r="J279" s="18">
        <v>609.13</v>
      </c>
      <c r="K279" s="18">
        <v>1250</v>
      </c>
      <c r="L279" s="19">
        <f>SUM(F279:K279)</f>
        <v>6986.13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>
        <v>0</v>
      </c>
      <c r="G281" s="18">
        <v>0</v>
      </c>
      <c r="H281" s="18">
        <v>0</v>
      </c>
      <c r="I281" s="18">
        <v>258.82</v>
      </c>
      <c r="J281" s="18">
        <v>0</v>
      </c>
      <c r="K281" s="18">
        <v>0</v>
      </c>
      <c r="L281" s="19">
        <f t="shared" ref="L281:L287" si="12">SUM(F281:K281)</f>
        <v>258.82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>
        <v>0</v>
      </c>
      <c r="G282" s="18">
        <v>0</v>
      </c>
      <c r="H282" s="18">
        <v>1000</v>
      </c>
      <c r="I282" s="18">
        <v>0</v>
      </c>
      <c r="J282" s="18">
        <v>0</v>
      </c>
      <c r="K282" s="18">
        <v>0</v>
      </c>
      <c r="L282" s="19">
        <f t="shared" si="12"/>
        <v>1000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>
        <v>2085.96</v>
      </c>
      <c r="G283" s="18">
        <v>0</v>
      </c>
      <c r="H283" s="18">
        <v>0</v>
      </c>
      <c r="I283" s="18">
        <v>0</v>
      </c>
      <c r="J283" s="18">
        <v>0</v>
      </c>
      <c r="K283" s="18">
        <v>171.5</v>
      </c>
      <c r="L283" s="19">
        <f t="shared" si="12"/>
        <v>2257.46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874.77</v>
      </c>
      <c r="L285" s="19">
        <f t="shared" si="12"/>
        <v>874.77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>
        <v>0</v>
      </c>
      <c r="G287" s="18">
        <v>0</v>
      </c>
      <c r="H287" s="18">
        <v>1787</v>
      </c>
      <c r="I287" s="18">
        <v>0</v>
      </c>
      <c r="J287" s="18">
        <v>0</v>
      </c>
      <c r="K287" s="18">
        <v>0</v>
      </c>
      <c r="L287" s="19">
        <f t="shared" si="12"/>
        <v>1787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29038.84</v>
      </c>
      <c r="G290" s="42">
        <f t="shared" si="13"/>
        <v>12263.09</v>
      </c>
      <c r="H290" s="42">
        <f t="shared" si="13"/>
        <v>3787</v>
      </c>
      <c r="I290" s="42">
        <f t="shared" si="13"/>
        <v>4646.1899999999996</v>
      </c>
      <c r="J290" s="42">
        <f t="shared" si="13"/>
        <v>11004.13</v>
      </c>
      <c r="K290" s="42">
        <f t="shared" si="13"/>
        <v>2296.27</v>
      </c>
      <c r="L290" s="41">
        <f t="shared" si="13"/>
        <v>63035.51999999999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29038.84</v>
      </c>
      <c r="G338" s="41">
        <f t="shared" si="20"/>
        <v>12263.09</v>
      </c>
      <c r="H338" s="41">
        <f t="shared" si="20"/>
        <v>3787</v>
      </c>
      <c r="I338" s="41">
        <f t="shared" si="20"/>
        <v>4646.1899999999996</v>
      </c>
      <c r="J338" s="41">
        <f t="shared" si="20"/>
        <v>11004.13</v>
      </c>
      <c r="K338" s="41">
        <f t="shared" si="20"/>
        <v>2296.27</v>
      </c>
      <c r="L338" s="41">
        <f t="shared" si="20"/>
        <v>63035.51999999999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29038.84</v>
      </c>
      <c r="G352" s="41">
        <f>G338</f>
        <v>12263.09</v>
      </c>
      <c r="H352" s="41">
        <f>H338</f>
        <v>3787</v>
      </c>
      <c r="I352" s="41">
        <f>I338</f>
        <v>4646.1899999999996</v>
      </c>
      <c r="J352" s="41">
        <f>J338</f>
        <v>11004.13</v>
      </c>
      <c r="K352" s="47">
        <f>K338+K351</f>
        <v>2296.27</v>
      </c>
      <c r="L352" s="41">
        <f>L338+L351</f>
        <v>63035.51999999999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/>
      <c r="G358" s="18"/>
      <c r="H358" s="18">
        <v>43131</v>
      </c>
      <c r="I358" s="18">
        <v>1471.42</v>
      </c>
      <c r="J358" s="18"/>
      <c r="K358" s="18"/>
      <c r="L358" s="13">
        <f>SUM(F358:K358)</f>
        <v>44602.42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43131</v>
      </c>
      <c r="I362" s="47">
        <f t="shared" si="22"/>
        <v>1471.42</v>
      </c>
      <c r="J362" s="47">
        <f t="shared" si="22"/>
        <v>0</v>
      </c>
      <c r="K362" s="47">
        <f t="shared" si="22"/>
        <v>0</v>
      </c>
      <c r="L362" s="47">
        <f t="shared" si="22"/>
        <v>44602.42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/>
      <c r="G367" s="18"/>
      <c r="H367" s="18"/>
      <c r="I367" s="56">
        <f>SUM(F367:H367)</f>
        <v>0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>
        <v>1471.42</v>
      </c>
      <c r="G368" s="63"/>
      <c r="H368" s="63"/>
      <c r="I368" s="56">
        <f>SUM(F368:H368)</f>
        <v>1471.42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1471.42</v>
      </c>
      <c r="G369" s="47">
        <f>SUM(G367:G368)</f>
        <v>0</v>
      </c>
      <c r="H369" s="47">
        <f>SUM(H367:H368)</f>
        <v>0</v>
      </c>
      <c r="I369" s="47">
        <f>SUM(I367:I368)</f>
        <v>1471.42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>
        <v>10000</v>
      </c>
      <c r="H389" s="18">
        <v>91.85</v>
      </c>
      <c r="I389" s="18"/>
      <c r="J389" s="24" t="s">
        <v>286</v>
      </c>
      <c r="K389" s="24" t="s">
        <v>286</v>
      </c>
      <c r="L389" s="56">
        <f t="shared" si="25"/>
        <v>10091.85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10000</v>
      </c>
      <c r="H393" s="139">
        <f>SUM(H387:H392)</f>
        <v>91.85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10091.85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/>
      <c r="H396" s="18"/>
      <c r="I396" s="18"/>
      <c r="J396" s="24" t="s">
        <v>286</v>
      </c>
      <c r="K396" s="24" t="s">
        <v>286</v>
      </c>
      <c r="L396" s="56">
        <f t="shared" si="26"/>
        <v>0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/>
      <c r="H397" s="18"/>
      <c r="I397" s="18"/>
      <c r="J397" s="24" t="s">
        <v>286</v>
      </c>
      <c r="K397" s="24" t="s">
        <v>286</v>
      </c>
      <c r="L397" s="56">
        <f t="shared" si="26"/>
        <v>0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/>
      <c r="H398" s="18"/>
      <c r="I398" s="18"/>
      <c r="J398" s="24" t="s">
        <v>286</v>
      </c>
      <c r="K398" s="24" t="s">
        <v>286</v>
      </c>
      <c r="L398" s="56">
        <f t="shared" si="26"/>
        <v>0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/>
      <c r="H399" s="18"/>
      <c r="I399" s="18"/>
      <c r="J399" s="24" t="s">
        <v>286</v>
      </c>
      <c r="K399" s="24" t="s">
        <v>286</v>
      </c>
      <c r="L399" s="56">
        <f t="shared" si="26"/>
        <v>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/>
      <c r="I400" s="18"/>
      <c r="J400" s="24" t="s">
        <v>286</v>
      </c>
      <c r="K400" s="24" t="s">
        <v>286</v>
      </c>
      <c r="L400" s="56">
        <f t="shared" si="26"/>
        <v>0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0</v>
      </c>
      <c r="I401" s="47">
        <f>SUM(I395:I400)</f>
        <v>0</v>
      </c>
      <c r="J401" s="45" t="s">
        <v>286</v>
      </c>
      <c r="K401" s="45" t="s">
        <v>286</v>
      </c>
      <c r="L401" s="47">
        <f>SUM(L395:L400)</f>
        <v>0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10000</v>
      </c>
      <c r="H408" s="47">
        <f>H393+H401+H407</f>
        <v>91.85</v>
      </c>
      <c r="I408" s="47">
        <f>I393+I401+I407</f>
        <v>0</v>
      </c>
      <c r="J408" s="24" t="s">
        <v>286</v>
      </c>
      <c r="K408" s="24" t="s">
        <v>286</v>
      </c>
      <c r="L408" s="47">
        <f>L393+L401+L407</f>
        <v>10091.85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>
        <v>27049.66</v>
      </c>
      <c r="H440" s="18"/>
      <c r="I440" s="56">
        <f t="shared" si="33"/>
        <v>27049.66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0</v>
      </c>
      <c r="G446" s="13">
        <f>SUM(G439:G445)</f>
        <v>27049.66</v>
      </c>
      <c r="H446" s="13">
        <f>SUM(H439:H445)</f>
        <v>0</v>
      </c>
      <c r="I446" s="13">
        <f>SUM(I439:I445)</f>
        <v>27049.66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/>
      <c r="G459" s="18">
        <v>27049.66</v>
      </c>
      <c r="H459" s="18"/>
      <c r="I459" s="56">
        <f t="shared" si="34"/>
        <v>27049.66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0</v>
      </c>
      <c r="G460" s="83">
        <f>SUM(G454:G459)</f>
        <v>27049.66</v>
      </c>
      <c r="H460" s="83">
        <f>SUM(H454:H459)</f>
        <v>0</v>
      </c>
      <c r="I460" s="83">
        <f>SUM(I454:I459)</f>
        <v>27049.66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0</v>
      </c>
      <c r="G461" s="42">
        <f>G452+G460</f>
        <v>27049.66</v>
      </c>
      <c r="H461" s="42">
        <f>H452+H460</f>
        <v>0</v>
      </c>
      <c r="I461" s="42">
        <f>I452+I460</f>
        <v>27049.66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97237.42</v>
      </c>
      <c r="G465" s="18">
        <v>10681.96</v>
      </c>
      <c r="H465" s="18">
        <v>0</v>
      </c>
      <c r="I465" s="18"/>
      <c r="J465" s="18">
        <v>16957.810000000001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1500310.63</v>
      </c>
      <c r="G468" s="18">
        <v>44056.3</v>
      </c>
      <c r="H468" s="18">
        <v>63035.519999999997</v>
      </c>
      <c r="I468" s="18"/>
      <c r="J468" s="18">
        <v>10091.85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/>
      <c r="G469" s="18"/>
      <c r="H469" s="18"/>
      <c r="I469" s="18"/>
      <c r="J469" s="18"/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1500310.63</v>
      </c>
      <c r="G470" s="53">
        <f>SUM(G468:G469)</f>
        <v>44056.3</v>
      </c>
      <c r="H470" s="53">
        <f>SUM(H468:H469)</f>
        <v>63035.519999999997</v>
      </c>
      <c r="I470" s="53">
        <f>SUM(I468:I469)</f>
        <v>0</v>
      </c>
      <c r="J470" s="53">
        <f>SUM(J468:J469)</f>
        <v>10091.85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1393313.31</v>
      </c>
      <c r="G472" s="18">
        <v>44602.42</v>
      </c>
      <c r="H472" s="18">
        <v>63035.519999999997</v>
      </c>
      <c r="I472" s="18"/>
      <c r="J472" s="18"/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1393313.31</v>
      </c>
      <c r="G474" s="53">
        <f>SUM(G472:G473)</f>
        <v>44602.42</v>
      </c>
      <c r="H474" s="53">
        <f>SUM(H472:H473)</f>
        <v>63035.519999999997</v>
      </c>
      <c r="I474" s="53">
        <f>SUM(I472:I473)</f>
        <v>0</v>
      </c>
      <c r="J474" s="53">
        <f>SUM(J472:J473)</f>
        <v>0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204234.73999999976</v>
      </c>
      <c r="G476" s="53">
        <f>(G465+G470)- G474</f>
        <v>10135.840000000004</v>
      </c>
      <c r="H476" s="53">
        <f>(H465+H470)- H474</f>
        <v>0</v>
      </c>
      <c r="I476" s="53">
        <f>(I465+I470)- I474</f>
        <v>0</v>
      </c>
      <c r="J476" s="53">
        <f>(J465+J470)- J474</f>
        <v>27049.660000000003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/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/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/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/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/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>
        <v>142781.74</v>
      </c>
      <c r="G521" s="18">
        <v>44940.94</v>
      </c>
      <c r="H521" s="18">
        <v>93757.87</v>
      </c>
      <c r="I521" s="18">
        <v>489.95</v>
      </c>
      <c r="J521" s="18">
        <v>0</v>
      </c>
      <c r="K521" s="18">
        <v>0</v>
      </c>
      <c r="L521" s="88">
        <f>SUM(F521:K521)</f>
        <v>281970.5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142781.74</v>
      </c>
      <c r="G524" s="108">
        <f t="shared" ref="G524:L524" si="36">SUM(G521:G523)</f>
        <v>44940.94</v>
      </c>
      <c r="H524" s="108">
        <f t="shared" si="36"/>
        <v>93757.87</v>
      </c>
      <c r="I524" s="108">
        <f t="shared" si="36"/>
        <v>489.95</v>
      </c>
      <c r="J524" s="108">
        <f t="shared" si="36"/>
        <v>0</v>
      </c>
      <c r="K524" s="108">
        <f t="shared" si="36"/>
        <v>0</v>
      </c>
      <c r="L524" s="89">
        <f t="shared" si="36"/>
        <v>281970.5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>
        <v>4652.01</v>
      </c>
      <c r="G526" s="18">
        <v>1959.34</v>
      </c>
      <c r="H526" s="18">
        <v>68999.61</v>
      </c>
      <c r="I526" s="18">
        <v>311.62</v>
      </c>
      <c r="J526" s="18">
        <v>0</v>
      </c>
      <c r="K526" s="18">
        <v>0</v>
      </c>
      <c r="L526" s="88">
        <f>SUM(F526:K526)</f>
        <v>75922.58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4652.01</v>
      </c>
      <c r="G529" s="89">
        <f t="shared" ref="G529:L529" si="37">SUM(G526:G528)</f>
        <v>1959.34</v>
      </c>
      <c r="H529" s="89">
        <f t="shared" si="37"/>
        <v>68999.61</v>
      </c>
      <c r="I529" s="89">
        <f t="shared" si="37"/>
        <v>311.62</v>
      </c>
      <c r="J529" s="89">
        <f t="shared" si="37"/>
        <v>0</v>
      </c>
      <c r="K529" s="89">
        <f t="shared" si="37"/>
        <v>0</v>
      </c>
      <c r="L529" s="89">
        <f t="shared" si="37"/>
        <v>75922.58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>
        <v>3426.22</v>
      </c>
      <c r="G531" s="18">
        <v>1521.8</v>
      </c>
      <c r="H531" s="18">
        <v>0</v>
      </c>
      <c r="I531" s="18">
        <v>0</v>
      </c>
      <c r="J531" s="18">
        <v>0</v>
      </c>
      <c r="K531" s="18">
        <v>0</v>
      </c>
      <c r="L531" s="88">
        <f>SUM(F531:K531)</f>
        <v>4948.0199999999995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3426.22</v>
      </c>
      <c r="G534" s="89">
        <f t="shared" ref="G534:L534" si="38">SUM(G531:G533)</f>
        <v>1521.8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4948.0199999999995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>
        <v>34700</v>
      </c>
      <c r="I541" s="18"/>
      <c r="J541" s="18"/>
      <c r="K541" s="18"/>
      <c r="L541" s="88">
        <f>SUM(F541:K541)</f>
        <v>34700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34700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34700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150859.97</v>
      </c>
      <c r="G545" s="89">
        <f t="shared" ref="G545:L545" si="41">G524+G529+G534+G539+G544</f>
        <v>48422.080000000002</v>
      </c>
      <c r="H545" s="89">
        <f t="shared" si="41"/>
        <v>197457.47999999998</v>
      </c>
      <c r="I545" s="89">
        <f t="shared" si="41"/>
        <v>801.56999999999994</v>
      </c>
      <c r="J545" s="89">
        <f t="shared" si="41"/>
        <v>0</v>
      </c>
      <c r="K545" s="89">
        <f t="shared" si="41"/>
        <v>0</v>
      </c>
      <c r="L545" s="89">
        <f t="shared" si="41"/>
        <v>397541.10000000003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281970.5</v>
      </c>
      <c r="G549" s="87">
        <f>L526</f>
        <v>75922.58</v>
      </c>
      <c r="H549" s="87">
        <f>L531</f>
        <v>4948.0199999999995</v>
      </c>
      <c r="I549" s="87">
        <f>L536</f>
        <v>0</v>
      </c>
      <c r="J549" s="87">
        <f>L541</f>
        <v>34700</v>
      </c>
      <c r="K549" s="87">
        <f>SUM(F549:J549)</f>
        <v>397541.10000000003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281970.5</v>
      </c>
      <c r="G552" s="89">
        <f t="shared" si="42"/>
        <v>75922.58</v>
      </c>
      <c r="H552" s="89">
        <f t="shared" si="42"/>
        <v>4948.0199999999995</v>
      </c>
      <c r="I552" s="89">
        <f t="shared" si="42"/>
        <v>0</v>
      </c>
      <c r="J552" s="89">
        <f t="shared" si="42"/>
        <v>34700</v>
      </c>
      <c r="K552" s="89">
        <f t="shared" si="42"/>
        <v>397541.10000000003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v>79619</v>
      </c>
      <c r="I591" s="18"/>
      <c r="J591" s="18"/>
      <c r="K591" s="104">
        <f t="shared" ref="K591:K597" si="48">SUM(H591:J591)</f>
        <v>79619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>
        <v>34700</v>
      </c>
      <c r="I592" s="18"/>
      <c r="J592" s="18"/>
      <c r="K592" s="104">
        <f t="shared" si="48"/>
        <v>34700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>
        <v>1669</v>
      </c>
      <c r="I594" s="18"/>
      <c r="J594" s="18"/>
      <c r="K594" s="104">
        <f t="shared" si="48"/>
        <v>1669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>
        <v>5643.9</v>
      </c>
      <c r="I595" s="18"/>
      <c r="J595" s="18"/>
      <c r="K595" s="104">
        <f t="shared" si="48"/>
        <v>5643.9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121631.9</v>
      </c>
      <c r="I598" s="108">
        <f>SUM(I591:I597)</f>
        <v>0</v>
      </c>
      <c r="J598" s="108">
        <f>SUM(J591:J597)</f>
        <v>0</v>
      </c>
      <c r="K598" s="108">
        <f>SUM(K591:K597)</f>
        <v>121631.9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v>11004.13</v>
      </c>
      <c r="I604" s="18"/>
      <c r="J604" s="18"/>
      <c r="K604" s="104">
        <f>SUM(H604:J604)</f>
        <v>11004.13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11004.13</v>
      </c>
      <c r="I605" s="108">
        <f>SUM(I602:I604)</f>
        <v>0</v>
      </c>
      <c r="J605" s="108">
        <f>SUM(J602:J604)</f>
        <v>0</v>
      </c>
      <c r="K605" s="108">
        <f>SUM(K602:K604)</f>
        <v>11004.13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>
        <v>1890</v>
      </c>
      <c r="G611" s="18">
        <v>472.69</v>
      </c>
      <c r="H611" s="18">
        <v>1189.8499999999999</v>
      </c>
      <c r="I611" s="18">
        <v>0</v>
      </c>
      <c r="J611" s="18">
        <v>0</v>
      </c>
      <c r="K611" s="18">
        <v>1250</v>
      </c>
      <c r="L611" s="88">
        <f>SUM(F611:K611)</f>
        <v>4802.54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1890</v>
      </c>
      <c r="G614" s="108">
        <f t="shared" si="49"/>
        <v>472.69</v>
      </c>
      <c r="H614" s="108">
        <f t="shared" si="49"/>
        <v>1189.8499999999999</v>
      </c>
      <c r="I614" s="108">
        <f t="shared" si="49"/>
        <v>0</v>
      </c>
      <c r="J614" s="108">
        <f t="shared" si="49"/>
        <v>0</v>
      </c>
      <c r="K614" s="108">
        <f t="shared" si="49"/>
        <v>1250</v>
      </c>
      <c r="L614" s="89">
        <f t="shared" si="49"/>
        <v>4802.54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225293.36999999997</v>
      </c>
      <c r="H617" s="109">
        <f>SUM(F52)</f>
        <v>225293.37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10135.84</v>
      </c>
      <c r="H618" s="109">
        <f>SUM(G52)</f>
        <v>10135.84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1134.4000000000015</v>
      </c>
      <c r="H619" s="109">
        <f>SUM(H52)</f>
        <v>1134.4000000000001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27049.66</v>
      </c>
      <c r="H621" s="109">
        <f>SUM(J52)</f>
        <v>27049.66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204234.74</v>
      </c>
      <c r="H622" s="109">
        <f>F476</f>
        <v>204234.73999999976</v>
      </c>
      <c r="I622" s="121" t="s">
        <v>101</v>
      </c>
      <c r="J622" s="109">
        <f t="shared" ref="J622:J655" si="50">G622-H622</f>
        <v>2.3283064365386963E-10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10135.84</v>
      </c>
      <c r="H623" s="109">
        <f>G476</f>
        <v>10135.840000000004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27049.66</v>
      </c>
      <c r="H626" s="109">
        <f>J476</f>
        <v>27049.660000000003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1500310.63</v>
      </c>
      <c r="H627" s="104">
        <f>SUM(F468)</f>
        <v>1500310.63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44056.3</v>
      </c>
      <c r="H628" s="104">
        <f>SUM(G468)</f>
        <v>44056.3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63035.519999999997</v>
      </c>
      <c r="H629" s="104">
        <f>SUM(H468)</f>
        <v>63035.519999999997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10091.85</v>
      </c>
      <c r="H631" s="104">
        <f>SUM(J468)</f>
        <v>10091.85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1393313.3099999998</v>
      </c>
      <c r="H632" s="104">
        <f>SUM(F472)</f>
        <v>1393313.31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63035.51999999999</v>
      </c>
      <c r="H633" s="104">
        <f>SUM(H472)</f>
        <v>63035.519999999997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1471.42</v>
      </c>
      <c r="H634" s="104">
        <f>I369</f>
        <v>1471.42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44602.42</v>
      </c>
      <c r="H635" s="104">
        <f>SUM(G472)</f>
        <v>44602.42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10091.85</v>
      </c>
      <c r="H637" s="164">
        <f>SUM(J468)</f>
        <v>10091.85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27049.66</v>
      </c>
      <c r="H640" s="104">
        <f>SUM(G461)</f>
        <v>27049.66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27049.66</v>
      </c>
      <c r="H642" s="104">
        <f>SUM(I461)</f>
        <v>27049.66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91.85</v>
      </c>
      <c r="H644" s="104">
        <f>H408</f>
        <v>91.85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10000</v>
      </c>
      <c r="H645" s="104">
        <f>G408</f>
        <v>10000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10091.85</v>
      </c>
      <c r="H646" s="104">
        <f>L408</f>
        <v>10091.85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121631.9</v>
      </c>
      <c r="H647" s="104">
        <f>L208+L226+L244</f>
        <v>121631.9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11004.13</v>
      </c>
      <c r="H648" s="104">
        <f>(J257+J338)-(J255+J336)</f>
        <v>11004.13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121631.9</v>
      </c>
      <c r="H649" s="104">
        <f>H598</f>
        <v>121631.9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0</v>
      </c>
      <c r="H650" s="104">
        <f>I598</f>
        <v>0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0</v>
      </c>
      <c r="H651" s="104">
        <f>J598</f>
        <v>0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20000</v>
      </c>
      <c r="H652" s="104">
        <f>K263+K345</f>
        <v>20000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10000</v>
      </c>
      <c r="H655" s="104">
        <f>K266+K347</f>
        <v>10000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1441187.0699999998</v>
      </c>
      <c r="G660" s="19">
        <f>(L229+L309+L359)</f>
        <v>0</v>
      </c>
      <c r="H660" s="19">
        <f>(L247+L328+L360)</f>
        <v>0</v>
      </c>
      <c r="I660" s="19">
        <f>SUM(F660:H660)</f>
        <v>1441187.0699999998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5430.05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5430.05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123418.9</v>
      </c>
      <c r="G662" s="19">
        <f>(L226+L306)-(J226+J306)</f>
        <v>0</v>
      </c>
      <c r="H662" s="19">
        <f>(L244+L325)-(J244+J325)</f>
        <v>0</v>
      </c>
      <c r="I662" s="19">
        <f>SUM(F662:H662)</f>
        <v>123418.9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15806.669999999998</v>
      </c>
      <c r="G663" s="199">
        <f>SUM(G575:G587)+SUM(I602:I604)+L612</f>
        <v>0</v>
      </c>
      <c r="H663" s="199">
        <f>SUM(H575:H587)+SUM(J602:J604)+L613</f>
        <v>0</v>
      </c>
      <c r="I663" s="19">
        <f>SUM(F663:H663)</f>
        <v>15806.669999999998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1296531.4499999997</v>
      </c>
      <c r="G664" s="19">
        <f>G660-SUM(G661:G663)</f>
        <v>0</v>
      </c>
      <c r="H664" s="19">
        <f>H660-SUM(H661:H663)</f>
        <v>0</v>
      </c>
      <c r="I664" s="19">
        <f>I660-SUM(I661:I663)</f>
        <v>1296531.4499999997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>
        <v>54.75</v>
      </c>
      <c r="G665" s="248"/>
      <c r="H665" s="248"/>
      <c r="I665" s="19">
        <f>SUM(F665:H665)</f>
        <v>54.75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>
        <f>ROUND(F664/F665,2)</f>
        <v>23680.94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23680.94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>
        <f>ROUND((F664+F669)/(F665+F670),2)</f>
        <v>23680.94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23680.94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Wentworth School District</v>
      </c>
      <c r="C1" s="238" t="s">
        <v>833</v>
      </c>
    </row>
    <row r="2" spans="1:3" x14ac:dyDescent="0.2">
      <c r="A2" s="233"/>
      <c r="B2" s="232"/>
    </row>
    <row r="3" spans="1:3" x14ac:dyDescent="0.2">
      <c r="A3" s="278" t="s">
        <v>778</v>
      </c>
      <c r="B3" s="278"/>
      <c r="C3" s="278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777</v>
      </c>
      <c r="C6" s="277"/>
    </row>
    <row r="7" spans="1:3" x14ac:dyDescent="0.2">
      <c r="A7" s="239" t="s">
        <v>780</v>
      </c>
      <c r="B7" s="275" t="s">
        <v>776</v>
      </c>
      <c r="C7" s="276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325058.58</v>
      </c>
      <c r="C9" s="229">
        <f>'DOE25'!G197+'DOE25'!G215+'DOE25'!G233+'DOE25'!G276+'DOE25'!G295+'DOE25'!G314</f>
        <v>188797.08000000002</v>
      </c>
    </row>
    <row r="10" spans="1:3" x14ac:dyDescent="0.2">
      <c r="A10" t="s">
        <v>773</v>
      </c>
      <c r="B10" s="240">
        <v>310984.86</v>
      </c>
      <c r="C10" s="240">
        <v>187241.4</v>
      </c>
    </row>
    <row r="11" spans="1:3" x14ac:dyDescent="0.2">
      <c r="A11" t="s">
        <v>774</v>
      </c>
      <c r="B11" s="240">
        <v>1224</v>
      </c>
      <c r="C11" s="240">
        <v>329.76</v>
      </c>
    </row>
    <row r="12" spans="1:3" x14ac:dyDescent="0.2">
      <c r="A12" t="s">
        <v>775</v>
      </c>
      <c r="B12" s="240">
        <v>12849.72</v>
      </c>
      <c r="C12" s="240">
        <v>1225.92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325058.57999999996</v>
      </c>
      <c r="C13" s="231">
        <f>SUM(C10:C12)</f>
        <v>188797.08000000002</v>
      </c>
    </row>
    <row r="14" spans="1:3" x14ac:dyDescent="0.2">
      <c r="B14" s="230"/>
      <c r="C14" s="230"/>
    </row>
    <row r="15" spans="1:3" x14ac:dyDescent="0.2">
      <c r="B15" s="277" t="s">
        <v>777</v>
      </c>
      <c r="C15" s="277"/>
    </row>
    <row r="16" spans="1:3" x14ac:dyDescent="0.2">
      <c r="A16" s="239" t="s">
        <v>781</v>
      </c>
      <c r="B16" s="275" t="s">
        <v>701</v>
      </c>
      <c r="C16" s="276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142781.74</v>
      </c>
      <c r="C18" s="229">
        <f>'DOE25'!G198+'DOE25'!G216+'DOE25'!G234+'DOE25'!G277+'DOE25'!G296+'DOE25'!G315</f>
        <v>44940.94</v>
      </c>
    </row>
    <row r="19" spans="1:3" x14ac:dyDescent="0.2">
      <c r="A19" t="s">
        <v>773</v>
      </c>
      <c r="B19" s="240">
        <v>65618.399999999994</v>
      </c>
      <c r="C19" s="240">
        <v>26261.14</v>
      </c>
    </row>
    <row r="20" spans="1:3" x14ac:dyDescent="0.2">
      <c r="A20" t="s">
        <v>774</v>
      </c>
      <c r="B20" s="240">
        <v>76028.34</v>
      </c>
      <c r="C20" s="240">
        <v>18475.150000000001</v>
      </c>
    </row>
    <row r="21" spans="1:3" x14ac:dyDescent="0.2">
      <c r="A21" t="s">
        <v>775</v>
      </c>
      <c r="B21" s="240">
        <v>1135</v>
      </c>
      <c r="C21" s="240">
        <v>204.65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142781.74</v>
      </c>
      <c r="C22" s="231">
        <f>SUM(C19:C21)</f>
        <v>44940.94</v>
      </c>
    </row>
    <row r="23" spans="1:3" x14ac:dyDescent="0.2">
      <c r="B23" s="230"/>
      <c r="C23" s="230"/>
    </row>
    <row r="24" spans="1:3" x14ac:dyDescent="0.2">
      <c r="B24" s="277" t="s">
        <v>777</v>
      </c>
      <c r="C24" s="277"/>
    </row>
    <row r="25" spans="1:3" x14ac:dyDescent="0.2">
      <c r="A25" s="239" t="s">
        <v>782</v>
      </c>
      <c r="B25" s="275" t="s">
        <v>702</v>
      </c>
      <c r="C25" s="276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777</v>
      </c>
      <c r="C33" s="277"/>
    </row>
    <row r="34" spans="1:3" x14ac:dyDescent="0.2">
      <c r="A34" s="239" t="s">
        <v>783</v>
      </c>
      <c r="B34" s="275" t="s">
        <v>703</v>
      </c>
      <c r="C34" s="276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8697</v>
      </c>
      <c r="C36" s="235">
        <f>'DOE25'!G200+'DOE25'!G218+'DOE25'!G236+'DOE25'!G279+'DOE25'!G298+'DOE25'!G317</f>
        <v>1764.9299999999998</v>
      </c>
    </row>
    <row r="37" spans="1:3" x14ac:dyDescent="0.2">
      <c r="A37" t="s">
        <v>773</v>
      </c>
      <c r="B37" s="240"/>
      <c r="C37" s="240"/>
    </row>
    <row r="38" spans="1:3" x14ac:dyDescent="0.2">
      <c r="A38" t="s">
        <v>774</v>
      </c>
      <c r="B38" s="240"/>
      <c r="C38" s="240"/>
    </row>
    <row r="39" spans="1:3" x14ac:dyDescent="0.2">
      <c r="A39" t="s">
        <v>775</v>
      </c>
      <c r="B39" s="240">
        <v>8697</v>
      </c>
      <c r="C39" s="240">
        <v>1764.93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8697</v>
      </c>
      <c r="C40" s="231">
        <f>SUM(C37:C39)</f>
        <v>1764.93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784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711</v>
      </c>
      <c r="B2" s="265" t="str">
        <f>'DOE25'!A2</f>
        <v>Wentworth School District</v>
      </c>
      <c r="C2" s="181"/>
      <c r="D2" s="181" t="s">
        <v>786</v>
      </c>
      <c r="E2" s="181" t="s">
        <v>788</v>
      </c>
      <c r="F2" s="279" t="s">
        <v>815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785053.19000000006</v>
      </c>
      <c r="D5" s="20">
        <f>SUM('DOE25'!L197:L200)+SUM('DOE25'!L215:L218)+SUM('DOE25'!L233:L236)-F5-G5</f>
        <v>784487.6100000001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565.58000000000004</v>
      </c>
      <c r="H5" s="259"/>
    </row>
    <row r="6" spans="1:9" x14ac:dyDescent="0.2">
      <c r="A6" s="32">
        <v>2100</v>
      </c>
      <c r="B6" t="s">
        <v>795</v>
      </c>
      <c r="C6" s="245">
        <f t="shared" si="0"/>
        <v>163119.66999999998</v>
      </c>
      <c r="D6" s="20">
        <f>'DOE25'!L202+'DOE25'!L220+'DOE25'!L238-F6-G6</f>
        <v>163119.66999999998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828</v>
      </c>
      <c r="C7" s="245">
        <f t="shared" si="0"/>
        <v>5923.54</v>
      </c>
      <c r="D7" s="20">
        <f>'DOE25'!L203+'DOE25'!L221+'DOE25'!L239-F7-G7</f>
        <v>5923.54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796</v>
      </c>
      <c r="C8" s="245">
        <f t="shared" si="0"/>
        <v>28125.649999999998</v>
      </c>
      <c r="D8" s="243"/>
      <c r="E8" s="20">
        <f>'DOE25'!L204+'DOE25'!L222+'DOE25'!L240-F8-G8-D9-D11</f>
        <v>26278.699999999997</v>
      </c>
      <c r="F8" s="255">
        <f>'DOE25'!J204+'DOE25'!J222+'DOE25'!J240</f>
        <v>0</v>
      </c>
      <c r="G8" s="53">
        <f>'DOE25'!K204+'DOE25'!K222+'DOE25'!K240</f>
        <v>1846.95</v>
      </c>
      <c r="H8" s="259"/>
    </row>
    <row r="9" spans="1:9" x14ac:dyDescent="0.2">
      <c r="A9" s="32">
        <v>2310</v>
      </c>
      <c r="B9" t="s">
        <v>812</v>
      </c>
      <c r="C9" s="245">
        <f t="shared" si="0"/>
        <v>10760.43</v>
      </c>
      <c r="D9" s="244">
        <v>10760.43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5600</v>
      </c>
      <c r="D10" s="243"/>
      <c r="E10" s="244">
        <v>5600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17971.96</v>
      </c>
      <c r="D11" s="244">
        <v>17971.96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100457.9</v>
      </c>
      <c r="D12" s="20">
        <f>'DOE25'!L205+'DOE25'!L223+'DOE25'!L241-F12-G12</f>
        <v>98919.87</v>
      </c>
      <c r="E12" s="243"/>
      <c r="F12" s="255">
        <f>'DOE25'!J205+'DOE25'!J223+'DOE25'!J241</f>
        <v>0</v>
      </c>
      <c r="G12" s="53">
        <f>'DOE25'!K205+'DOE25'!K223+'DOE25'!K241</f>
        <v>1538.03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25</v>
      </c>
      <c r="D13" s="243"/>
      <c r="E13" s="20">
        <f>'DOE25'!L206+'DOE25'!L224+'DOE25'!L242-F13-G13</f>
        <v>25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100479.88999999998</v>
      </c>
      <c r="D14" s="20">
        <f>'DOE25'!L207+'DOE25'!L225+'DOE25'!L243-F14-G14</f>
        <v>100479.88999999998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121631.9</v>
      </c>
      <c r="D15" s="20">
        <f>'DOE25'!L208+'DOE25'!L226+'DOE25'!L244-F15-G15</f>
        <v>121631.9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29764.18</v>
      </c>
      <c r="D22" s="243"/>
      <c r="E22" s="243"/>
      <c r="F22" s="255">
        <f>'DOE25'!L255+'DOE25'!L336</f>
        <v>29764.18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44602.42</v>
      </c>
      <c r="D29" s="20">
        <f>'DOE25'!L358+'DOE25'!L359+'DOE25'!L360-'DOE25'!I367-F29-G29</f>
        <v>44602.42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63035.51999999999</v>
      </c>
      <c r="D31" s="20">
        <f>'DOE25'!L290+'DOE25'!L309+'DOE25'!L328+'DOE25'!L333+'DOE25'!L334+'DOE25'!L335-F31-G31</f>
        <v>49735.119999999995</v>
      </c>
      <c r="E31" s="243"/>
      <c r="F31" s="255">
        <f>'DOE25'!J290+'DOE25'!J309+'DOE25'!J328+'DOE25'!J333+'DOE25'!J334+'DOE25'!J335</f>
        <v>11004.13</v>
      </c>
      <c r="G31" s="53">
        <f>'DOE25'!K290+'DOE25'!K309+'DOE25'!K328+'DOE25'!K333+'DOE25'!K334+'DOE25'!K335</f>
        <v>2296.27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1397632.4099999997</v>
      </c>
      <c r="E33" s="246">
        <f>SUM(E5:E31)</f>
        <v>31903.699999999997</v>
      </c>
      <c r="F33" s="246">
        <f>SUM(F5:F31)</f>
        <v>40768.31</v>
      </c>
      <c r="G33" s="246">
        <f>SUM(G5:G31)</f>
        <v>6246.83</v>
      </c>
      <c r="H33" s="246">
        <f>SUM(H5:H31)</f>
        <v>0</v>
      </c>
    </row>
    <row r="35" spans="2:8" ht="12" thickBot="1" x14ac:dyDescent="0.25">
      <c r="B35" s="253" t="s">
        <v>841</v>
      </c>
      <c r="D35" s="254">
        <f>E33</f>
        <v>31903.699999999997</v>
      </c>
      <c r="E35" s="249"/>
    </row>
    <row r="36" spans="2:8" ht="12" thickTop="1" x14ac:dyDescent="0.2">
      <c r="B36" t="s">
        <v>809</v>
      </c>
      <c r="D36" s="20">
        <f>D33</f>
        <v>1397632.4099999997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Normal="100" workbookViewId="0">
      <pane ySplit="2" topLeftCell="A120" activePane="bottomLeft" state="frozen"/>
      <selection activeCell="F46" sqref="F46"/>
      <selection pane="bottomLeft" activeCell="A2" sqref="A2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Wentworth School District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218300.32</v>
      </c>
      <c r="D8" s="95">
        <f>'DOE25'!G9</f>
        <v>-6333.65</v>
      </c>
      <c r="E8" s="95">
        <f>'DOE25'!H9</f>
        <v>-8759.2199999999993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27049.66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2215.08</v>
      </c>
      <c r="D12" s="95">
        <f>'DOE25'!G13</f>
        <v>5653.74</v>
      </c>
      <c r="E12" s="95">
        <f>'DOE25'!H13</f>
        <v>9893.6200000000008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616.86</v>
      </c>
      <c r="D13" s="95">
        <f>'DOE25'!G14</f>
        <v>10815.75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4161.1099999999997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225293.36999999997</v>
      </c>
      <c r="D18" s="41">
        <f>SUM(D8:D17)</f>
        <v>10135.84</v>
      </c>
      <c r="E18" s="41">
        <f>SUM(E8:E17)</f>
        <v>1134.4000000000015</v>
      </c>
      <c r="F18" s="41">
        <f>SUM(F8:F17)</f>
        <v>0</v>
      </c>
      <c r="G18" s="41">
        <f>SUM(G8:G17)</f>
        <v>27049.66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21058.63</v>
      </c>
      <c r="D23" s="95">
        <f>'DOE25'!G24</f>
        <v>0</v>
      </c>
      <c r="E23" s="95">
        <f>'DOE25'!H24</f>
        <v>1134.4000000000001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21058.63</v>
      </c>
      <c r="D31" s="41">
        <f>SUM(D21:D30)</f>
        <v>0</v>
      </c>
      <c r="E31" s="41">
        <f>SUM(E21:E30)</f>
        <v>1134.4000000000001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18000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61358.02</v>
      </c>
      <c r="D44" s="95">
        <f>'DOE25'!G45</f>
        <v>0</v>
      </c>
      <c r="E44" s="95">
        <f>'DOE25'!H45</f>
        <v>1956.75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0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27049.66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0</v>
      </c>
      <c r="D48" s="95">
        <f>'DOE25'!G49</f>
        <v>10135.84</v>
      </c>
      <c r="E48" s="95">
        <f>'DOE25'!H49</f>
        <v>-1956.75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124876.72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204234.74</v>
      </c>
      <c r="D50" s="41">
        <f>SUM(D34:D49)</f>
        <v>10135.84</v>
      </c>
      <c r="E50" s="41">
        <f>SUM(E34:E49)</f>
        <v>0</v>
      </c>
      <c r="F50" s="41">
        <f>SUM(F34:F49)</f>
        <v>0</v>
      </c>
      <c r="G50" s="41">
        <f>SUM(G34:G49)</f>
        <v>27049.66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225293.37</v>
      </c>
      <c r="D51" s="41">
        <f>D50+D31</f>
        <v>10135.84</v>
      </c>
      <c r="E51" s="41">
        <f>E50+E31</f>
        <v>1134.4000000000001</v>
      </c>
      <c r="F51" s="41">
        <f>F50+F31</f>
        <v>0</v>
      </c>
      <c r="G51" s="41">
        <f>G50+G31</f>
        <v>27049.66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965808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21874.959999999999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28.46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91.85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5430.05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5570.53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27473.949999999997</v>
      </c>
      <c r="D62" s="130">
        <f>SUM(D57:D61)</f>
        <v>5430.05</v>
      </c>
      <c r="E62" s="130">
        <f>SUM(E57:E61)</f>
        <v>0</v>
      </c>
      <c r="F62" s="130">
        <f>SUM(F57:F61)</f>
        <v>0</v>
      </c>
      <c r="G62" s="130">
        <f>SUM(G57:G61)</f>
        <v>91.85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993281.95</v>
      </c>
      <c r="D63" s="22">
        <f>D56+D62</f>
        <v>5430.05</v>
      </c>
      <c r="E63" s="22">
        <f>E56+E62</f>
        <v>0</v>
      </c>
      <c r="F63" s="22">
        <f>F56+F62</f>
        <v>0</v>
      </c>
      <c r="G63" s="22">
        <f>G56+G62</f>
        <v>91.85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335773.38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138220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 t="e">
        <f>'DOE25'!#REF!</f>
        <v>#REF!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 t="e">
        <f>SUM(C66:C69)</f>
        <v>#REF!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0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0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340.15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0</v>
      </c>
      <c r="D78" s="130">
        <f>SUM(D72:D77)</f>
        <v>340.15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 t="e">
        <f>SUM(C79:C80)+C78+C70</f>
        <v>#REF!</v>
      </c>
      <c r="D81" s="130">
        <f>SUM(D79:D80)+D78+D70</f>
        <v>340.15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0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30442</v>
      </c>
      <c r="D88" s="95">
        <f>SUM('DOE25'!G153:G161)</f>
        <v>18286.099999999999</v>
      </c>
      <c r="E88" s="95">
        <f>SUM('DOE25'!H153:H161)</f>
        <v>63035.519999999997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1903.5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32345.5</v>
      </c>
      <c r="D91" s="131">
        <f>SUM(D85:D90)</f>
        <v>18286.099999999999</v>
      </c>
      <c r="E91" s="131">
        <f>SUM(E85:E90)</f>
        <v>63035.519999999997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0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20000</v>
      </c>
      <c r="E96" s="95">
        <f>'DOE25'!H179</f>
        <v>0</v>
      </c>
      <c r="F96" s="95">
        <f>'DOE25'!I179</f>
        <v>0</v>
      </c>
      <c r="G96" s="95">
        <f>'DOE25'!J179</f>
        <v>10000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0</v>
      </c>
      <c r="D103" s="86">
        <f>SUM(D93:D102)</f>
        <v>20000</v>
      </c>
      <c r="E103" s="86">
        <f>SUM(E93:E102)</f>
        <v>0</v>
      </c>
      <c r="F103" s="86">
        <f>SUM(F93:F102)</f>
        <v>0</v>
      </c>
      <c r="G103" s="86">
        <f>SUM(G93:G102)</f>
        <v>10000</v>
      </c>
    </row>
    <row r="104" spans="1:7" ht="12.75" thickTop="1" thickBot="1" x14ac:dyDescent="0.25">
      <c r="A104" s="33" t="s">
        <v>759</v>
      </c>
      <c r="C104" s="86" t="e">
        <f>C63+C81+C91+C103</f>
        <v>#REF!</v>
      </c>
      <c r="D104" s="86">
        <f>D63+D81+D91+D103</f>
        <v>44056.3</v>
      </c>
      <c r="E104" s="86">
        <f>E63+E81+E91+E103</f>
        <v>63035.519999999997</v>
      </c>
      <c r="F104" s="86">
        <f>F63+F81+F91+F103</f>
        <v>0</v>
      </c>
      <c r="G104" s="86">
        <f>G63+G81+G103</f>
        <v>10091.85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495360.26</v>
      </c>
      <c r="D109" s="24" t="s">
        <v>286</v>
      </c>
      <c r="E109" s="95">
        <f>('DOE25'!L276)+('DOE25'!L295)+('DOE25'!L314)</f>
        <v>49871.34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281970.5</v>
      </c>
      <c r="D110" s="24" t="s">
        <v>286</v>
      </c>
      <c r="E110" s="95">
        <f>('DOE25'!L277)+('DOE25'!L296)+('DOE25'!L315)</f>
        <v>0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7722.4299999999994</v>
      </c>
      <c r="D112" s="24" t="s">
        <v>286</v>
      </c>
      <c r="E112" s="95">
        <f>+('DOE25'!L279)+('DOE25'!L298)+('DOE25'!L317)</f>
        <v>6986.13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0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785053.19000000006</v>
      </c>
      <c r="D115" s="86">
        <f>SUM(D109:D114)</f>
        <v>0</v>
      </c>
      <c r="E115" s="86">
        <f>SUM(E109:E114)</f>
        <v>56857.469999999994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163119.66999999998</v>
      </c>
      <c r="D118" s="24" t="s">
        <v>286</v>
      </c>
      <c r="E118" s="95">
        <f>+('DOE25'!L281)+('DOE25'!L300)+('DOE25'!L319)</f>
        <v>258.82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5923.54</v>
      </c>
      <c r="D119" s="24" t="s">
        <v>286</v>
      </c>
      <c r="E119" s="95">
        <f>+('DOE25'!L282)+('DOE25'!L301)+('DOE25'!L320)</f>
        <v>1000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56858.039999999994</v>
      </c>
      <c r="D120" s="24" t="s">
        <v>286</v>
      </c>
      <c r="E120" s="95">
        <f>+('DOE25'!L283)+('DOE25'!L302)+('DOE25'!L321)</f>
        <v>2257.46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100457.9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25</v>
      </c>
      <c r="D122" s="24" t="s">
        <v>286</v>
      </c>
      <c r="E122" s="95">
        <f>+('DOE25'!L285)+('DOE25'!L304)+('DOE25'!L323)</f>
        <v>874.77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100479.88999999998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121631.9</v>
      </c>
      <c r="D124" s="24" t="s">
        <v>286</v>
      </c>
      <c r="E124" s="95">
        <f>+('DOE25'!L287)+('DOE25'!L306)+('DOE25'!L325)</f>
        <v>1787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44602.42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548495.94000000006</v>
      </c>
      <c r="D128" s="86">
        <f>SUM(D118:D127)</f>
        <v>44602.42</v>
      </c>
      <c r="E128" s="86">
        <f>SUM(E118:E127)</f>
        <v>6178.0499999999993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29764.18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20000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10091.85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0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-91.850000000000364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59764.18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1393313.31</v>
      </c>
      <c r="D145" s="86">
        <f>(D115+D128+D144)</f>
        <v>44602.42</v>
      </c>
      <c r="E145" s="86">
        <f>(E115+E128+E144)</f>
        <v>63035.51999999999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734</v>
      </c>
      <c r="B1" s="283"/>
      <c r="C1" s="283"/>
      <c r="D1" s="283"/>
    </row>
    <row r="2" spans="1:4" x14ac:dyDescent="0.2">
      <c r="A2" s="187" t="s">
        <v>711</v>
      </c>
      <c r="B2" s="186" t="str">
        <f>'DOE25'!A2</f>
        <v>Wentworth School District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23681</v>
      </c>
    </row>
    <row r="5" spans="1:4" x14ac:dyDescent="0.2">
      <c r="B5" t="s">
        <v>698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699</v>
      </c>
      <c r="C7" s="179">
        <f>IF('DOE25'!I665+'DOE25'!I670=0,0,ROUND('DOE25'!I672,0))</f>
        <v>23681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545232</v>
      </c>
      <c r="D10" s="182">
        <f>ROUND((C10/$C$28)*100,1)</f>
        <v>38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281971</v>
      </c>
      <c r="D11" s="182">
        <f>ROUND((C11/$C$28)*100,1)</f>
        <v>19.600000000000001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14709</v>
      </c>
      <c r="D13" s="182">
        <f>ROUND((C13/$C$28)*100,1)</f>
        <v>1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163378</v>
      </c>
      <c r="D15" s="182">
        <f t="shared" ref="D15:D27" si="0">ROUND((C15/$C$28)*100,1)</f>
        <v>11.4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6924</v>
      </c>
      <c r="D16" s="182">
        <f t="shared" si="0"/>
        <v>0.5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59116</v>
      </c>
      <c r="D17" s="182">
        <f t="shared" si="0"/>
        <v>4.0999999999999996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100458</v>
      </c>
      <c r="D18" s="182">
        <f t="shared" si="0"/>
        <v>7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900</v>
      </c>
      <c r="D19" s="182">
        <f t="shared" si="0"/>
        <v>0.1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100480</v>
      </c>
      <c r="D20" s="182">
        <f t="shared" si="0"/>
        <v>7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123419</v>
      </c>
      <c r="D21" s="182">
        <f t="shared" si="0"/>
        <v>8.6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714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39171.949999999997</v>
      </c>
      <c r="D27" s="182">
        <f t="shared" si="0"/>
        <v>2.7</v>
      </c>
    </row>
    <row r="28" spans="1:4" x14ac:dyDescent="0.2">
      <c r="B28" s="187" t="s">
        <v>717</v>
      </c>
      <c r="C28" s="180">
        <f>SUM(C10:C27)</f>
        <v>1435758.95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29764</v>
      </c>
    </row>
    <row r="30" spans="1:4" x14ac:dyDescent="0.2">
      <c r="B30" s="187" t="s">
        <v>723</v>
      </c>
      <c r="C30" s="180">
        <f>SUM(C28:C29)</f>
        <v>1465522.95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965808</v>
      </c>
      <c r="D35" s="182">
        <f t="shared" ref="D35:D40" si="1">ROUND((C35/$C$41)*100,1)</f>
        <v>61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27565.79999999993</v>
      </c>
      <c r="D36" s="182">
        <f t="shared" si="1"/>
        <v>1.7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473993</v>
      </c>
      <c r="D37" s="182">
        <f t="shared" si="1"/>
        <v>30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1030</v>
      </c>
      <c r="D38" s="182">
        <f t="shared" si="1"/>
        <v>0.1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113667</v>
      </c>
      <c r="D39" s="182">
        <f t="shared" si="1"/>
        <v>7.2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1582063.7999999998</v>
      </c>
      <c r="D41" s="184">
        <f>SUM(D35:D40)</f>
        <v>100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764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761</v>
      </c>
      <c r="B2" s="295"/>
      <c r="C2" s="295"/>
      <c r="D2" s="295"/>
      <c r="E2" s="295"/>
      <c r="F2" s="292" t="str">
        <f>'DOE25'!A2</f>
        <v>Wentworth School District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0" t="s">
        <v>765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842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sheetProtection password="9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Welch, Matthew</cp:lastModifiedBy>
  <cp:lastPrinted>2018-08-16T18:52:59Z</cp:lastPrinted>
  <dcterms:created xsi:type="dcterms:W3CDTF">1997-12-04T19:04:30Z</dcterms:created>
  <dcterms:modified xsi:type="dcterms:W3CDTF">2018-11-30T17:46:24Z</dcterms:modified>
</cp:coreProperties>
</file>